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warnermedia-my.sharepoint.com/personal/heidi_kindberg_warnermedia_com/Documents/HBO OneDrive/Non Profits_Universities_Orgs/UCLA/Film Digital LCAs/Film_Digital LCA_GPGversions/"/>
    </mc:Choice>
  </mc:AlternateContent>
  <xr:revisionPtr revIDLastSave="7" documentId="8_{B28B7FD4-634F-4A5E-BD3F-74D72559ED4E}" xr6:coauthVersionLast="47" xr6:coauthVersionMax="47" xr10:uidLastSave="{4CE3E8C9-4F9D-4C94-A63B-81F289A0D13D}"/>
  <bookViews>
    <workbookView xWindow="-28920" yWindow="-120" windowWidth="29040" windowHeight="15840" xr2:uid="{2320E30A-E646-384C-8210-4504D35FBB20}"/>
  </bookViews>
  <sheets>
    <sheet name="General" sheetId="11" r:id="rId1"/>
    <sheet name="Film" sheetId="10" state="hidden" r:id="rId2"/>
    <sheet name="SD Cards" sheetId="9" state="hidden" r:id="rId3"/>
    <sheet name="Unit Conversions" sheetId="19" state="hidden" r:id="rId4"/>
    <sheet name="Film Sources" sheetId="21" state="hidden" r:id="rId5"/>
    <sheet name="Digital Sources" sheetId="20"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9" l="1"/>
  <c r="D24" i="9"/>
  <c r="D26" i="9" s="1"/>
  <c r="D34" i="9"/>
  <c r="D36" i="9"/>
  <c r="D38" i="9" s="1"/>
  <c r="D42" i="19"/>
  <c r="D8" i="10"/>
  <c r="D147" i="10"/>
  <c r="D61" i="9"/>
  <c r="D62" i="9" s="1"/>
  <c r="D246" i="10"/>
  <c r="D240" i="10"/>
  <c r="D234" i="10"/>
  <c r="D43" i="10"/>
  <c r="D86" i="10"/>
  <c r="D252" i="10"/>
  <c r="D40" i="19"/>
  <c r="D25" i="19"/>
  <c r="D24" i="19"/>
  <c r="D18" i="19"/>
  <c r="D6" i="19"/>
  <c r="D98" i="10" s="1"/>
  <c r="D4" i="9"/>
  <c r="D5" i="9"/>
  <c r="D39" i="9"/>
  <c r="D21" i="9"/>
  <c r="D15" i="9"/>
  <c r="D16" i="9" s="1"/>
  <c r="D17" i="9" s="1"/>
  <c r="D18" i="9" s="1"/>
  <c r="D36" i="10"/>
  <c r="D29" i="10"/>
  <c r="D33" i="10"/>
  <c r="D34" i="10" s="1"/>
  <c r="D251" i="10"/>
  <c r="D208" i="10"/>
  <c r="D209" i="10"/>
  <c r="D210" i="10"/>
  <c r="F12" i="11" s="1"/>
  <c r="D63" i="9"/>
  <c r="G12" i="11" s="1"/>
  <c r="D10" i="9"/>
  <c r="D11" i="9" s="1"/>
  <c r="D22" i="9" s="1"/>
  <c r="D95" i="10"/>
  <c r="D72" i="10"/>
  <c r="D73" i="10"/>
  <c r="D18" i="10"/>
  <c r="D12" i="10"/>
  <c r="D5" i="10"/>
  <c r="B276" i="10"/>
  <c r="B277" i="10" s="1"/>
  <c r="D51" i="10"/>
  <c r="D52" i="10" s="1"/>
  <c r="D47" i="10"/>
  <c r="D48" i="10" s="1"/>
  <c r="D137" i="10"/>
  <c r="D176" i="10" s="1"/>
  <c r="D195" i="10"/>
  <c r="D196" i="10" s="1"/>
  <c r="D193" i="10"/>
  <c r="D194" i="10" s="1"/>
  <c r="D157" i="10"/>
  <c r="D57" i="9"/>
  <c r="D58" i="9"/>
  <c r="E81" i="9"/>
  <c r="E82" i="9" s="1"/>
  <c r="E83" i="9" s="1"/>
  <c r="E75" i="9"/>
  <c r="E76" i="9" s="1"/>
  <c r="E77" i="9" s="1"/>
  <c r="E69" i="9"/>
  <c r="E70" i="9" s="1"/>
  <c r="E71" i="9" s="1"/>
  <c r="D198" i="10"/>
  <c r="D55" i="9"/>
  <c r="D56" i="9" s="1"/>
  <c r="D253" i="10" l="1"/>
  <c r="D30" i="9"/>
  <c r="D46" i="9" s="1"/>
  <c r="D27" i="9"/>
  <c r="D6" i="9"/>
  <c r="D161" i="10"/>
  <c r="D254" i="10"/>
  <c r="D255" i="10" s="1"/>
  <c r="D261" i="10" s="1"/>
  <c r="D241" i="10"/>
  <c r="D242" i="10" s="1"/>
  <c r="D259" i="10" s="1"/>
  <c r="D174" i="10"/>
  <c r="D175" i="10" s="1"/>
  <c r="D166" i="10"/>
  <c r="D167" i="10" s="1"/>
  <c r="D158" i="10"/>
  <c r="D159" i="10" s="1"/>
  <c r="D152" i="10"/>
  <c r="D160" i="10"/>
  <c r="D153" i="10"/>
  <c r="D235" i="10"/>
  <c r="D258" i="10" s="1"/>
  <c r="B13" i="11" s="1"/>
  <c r="D247" i="10"/>
  <c r="D260" i="10" s="1"/>
  <c r="F13" i="11" s="1"/>
  <c r="D150" i="10"/>
  <c r="D151" i="10" s="1"/>
  <c r="D154" i="10" s="1"/>
  <c r="D44" i="10"/>
  <c r="D60" i="10" s="1"/>
  <c r="D12" i="9"/>
  <c r="D35" i="10"/>
  <c r="D37" i="10" s="1"/>
  <c r="D87" i="10"/>
  <c r="D63" i="10"/>
  <c r="D66" i="10"/>
  <c r="D74" i="10"/>
  <c r="D24" i="10"/>
  <c r="D13" i="10"/>
  <c r="D19" i="10"/>
  <c r="D20" i="10" s="1"/>
  <c r="D177" i="10"/>
  <c r="D169" i="10"/>
  <c r="D168" i="10"/>
  <c r="D202" i="10"/>
  <c r="D203" i="10" s="1"/>
  <c r="D211" i="10" s="1"/>
  <c r="D205" i="10"/>
  <c r="D162" i="10" l="1"/>
  <c r="D43" i="9"/>
  <c r="D14" i="10"/>
  <c r="D25" i="10"/>
  <c r="D80" i="10"/>
  <c r="D83" i="10"/>
  <c r="D77" i="10"/>
  <c r="D99" i="10"/>
  <c r="D89" i="10"/>
  <c r="D93" i="10"/>
  <c r="D13" i="11"/>
  <c r="H13" i="11"/>
  <c r="D178" i="10"/>
  <c r="D184" i="10" s="1"/>
  <c r="H11" i="11" s="1"/>
  <c r="D38" i="10"/>
  <c r="B11" i="11"/>
  <c r="D45" i="9"/>
  <c r="G10" i="11" s="1"/>
  <c r="D19" i="9"/>
  <c r="D44" i="9" s="1"/>
  <c r="D91" i="10"/>
  <c r="D96" i="10"/>
  <c r="D170" i="10"/>
  <c r="D11" i="11" s="1"/>
  <c r="E10" i="11"/>
  <c r="F11" i="11"/>
  <c r="D181" i="10"/>
  <c r="D183" i="10"/>
  <c r="C10" i="11" l="1"/>
  <c r="G14" i="11"/>
  <c r="E14" i="11"/>
  <c r="D100" i="10"/>
  <c r="I10" i="11"/>
  <c r="I14" i="11" s="1"/>
  <c r="D227" i="11"/>
  <c r="D182" i="10"/>
  <c r="D101" i="10" l="1"/>
  <c r="D102" i="10"/>
  <c r="D105" i="10" s="1"/>
  <c r="C14" i="11"/>
  <c r="D103" i="10"/>
  <c r="D110" i="10" s="1"/>
  <c r="D104" i="10"/>
  <c r="D116" i="10" l="1"/>
  <c r="D117" i="10"/>
  <c r="D115" i="10"/>
  <c r="D118" i="10"/>
  <c r="D108" i="10"/>
  <c r="D107" i="10"/>
  <c r="D106" i="10"/>
  <c r="D119" i="10"/>
  <c r="D125" i="10" s="1"/>
  <c r="D113" i="10"/>
  <c r="D112" i="10"/>
  <c r="D111" i="10"/>
  <c r="D122" i="10" l="1"/>
  <c r="D121" i="10"/>
  <c r="D127" i="10" s="1"/>
  <c r="F10" i="11" s="1"/>
  <c r="D120" i="10"/>
  <c r="D126" i="10" s="1"/>
  <c r="D10" i="11" s="1"/>
  <c r="B10" i="11"/>
  <c r="B14" i="11" s="1"/>
  <c r="D128" i="10"/>
  <c r="H10" i="11" s="1"/>
  <c r="F14" i="11" l="1"/>
  <c r="D14" i="11"/>
  <c r="H1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tc={305080F5-FDD2-46E7-B739-D9D15E009363}</author>
    <author>tc={D4BC3676-D7D1-415B-B371-E72904EA8685}</author>
    <author>tc={E9370904-7BA7-46F1-A5F4-B0CD137895A7}</author>
    <author>tc={DE6B2B6E-BCB2-4B5D-8C3F-2F3E99B6D19A}</author>
  </authors>
  <commentList>
    <comment ref="D216" authorId="0" shapeId="0" xr:uid="{305080F5-FDD2-46E7-B739-D9D15E009363}">
      <text>
        <t>[Threaded comment]
Your version of Excel allows you to read this threaded comment; however, any edits to it will get removed if the file is opened in a newer version of Excel. Learn more: https://go.microsoft.com/fwlink/?linkid=870924
Comment:
    on the Kodak page I'm using the 20L container  of bleach solution supplies 33.3 litres of replenisher solution which I'm not yet sure if it's the total amount or if its part of the amount</t>
      </text>
    </comment>
    <comment ref="B217" authorId="1" shapeId="0" xr:uid="{D4BC3676-D7D1-415B-B371-E72904EA8685}">
      <text>
        <t>[Threaded comment]
Your version of Excel allows you to read this threaded comment; however, any edits to it will get removed if the file is opened in a newer version of Excel. Learn more: https://go.microsoft.com/fwlink/?linkid=870924
Comment:
    5-30 mL/sq_ft is how much bleach is added to the used solution. The same amount of used solution is discarded at this time. How do we get from this value to figuring out how much bleach solution is recycled?
Reply:
    Viraj: we don't know how long the remaining bleach gets used before it gets replaced, but it is probably many many years --&gt; if they develop a huge amount of film over those years, then the impact of the remaining bleach solution per square ft of film will be very very small --&gt; approximate that this is 0, so we can just look at the impact of the 5-30 ml/sqft of bleach.</t>
      </text>
    </comment>
    <comment ref="D221" authorId="2" shapeId="0" xr:uid="{E9370904-7BA7-46F1-A5F4-B0CD137895A7}">
      <text>
        <t>[Threaded comment]
Your version of Excel allows you to read this threaded comment; however, any edits to it will get removed if the file is opened in a newer version of Excel. Learn more: https://go.microsoft.com/fwlink/?linkid=870924
Comment:
    600 mL wastewater flow/tank of wash
(based on table 1-4 and it looks like 3 tanks are used)
https://www.epa.gov/sites/production/files/2015-11/documents/photo-processing_memo-304m-record_2005.pdf 
Reply:
    "Wash waters are replenished at 200 to 1000 mL/ sqft (tank?) https://www.epa.gov/sites/production/files/2015-11/documents/photoprocessing_prelim-data-summary_1997.pdf
Reply:
    https://www.epa.gov/sites/production/files/2015-11/documents/photo-processing_guidance_1981.pdf
just to have this link too</t>
      </text>
    </comment>
    <comment ref="C226" authorId="3" shapeId="0" xr:uid="{DE6B2B6E-BCB2-4B5D-8C3F-2F3E99B6D19A}">
      <text>
        <t>[Threaded comment]
Your version of Excel allows you to read this threaded comment; however, any edits to it will get removed if the file is opened in a newer version of Excel. Learn more: https://go.microsoft.com/fwlink/?linkid=870924
Comment:
    not sure exactly what total water should be per. so im leaving it like this for now but can go back and change</t>
      </text>
    </comment>
  </commentList>
</comments>
</file>

<file path=xl/sharedStrings.xml><?xml version="1.0" encoding="utf-8"?>
<sst xmlns="http://schemas.openxmlformats.org/spreadsheetml/2006/main" count="1287" uniqueCount="612">
  <si>
    <t>Hours of Content</t>
  </si>
  <si>
    <t>Energy (kWh/hr film)</t>
  </si>
  <si>
    <t>Water (gal/hr film)</t>
  </si>
  <si>
    <t>CO2 Emissions (kg/hr film)</t>
  </si>
  <si>
    <t>Hazardous Waste (kg/hr film)</t>
  </si>
  <si>
    <t>Processes</t>
  </si>
  <si>
    <t>Film</t>
  </si>
  <si>
    <t>Digital</t>
  </si>
  <si>
    <t xml:space="preserve">Raw Materials </t>
  </si>
  <si>
    <t>Manufacturing</t>
  </si>
  <si>
    <t>Transportation*</t>
  </si>
  <si>
    <t>Development (Film only)</t>
  </si>
  <si>
    <t>Total Impacts</t>
  </si>
  <si>
    <t>* Transportation values are per round trip to dailies facility</t>
  </si>
  <si>
    <t>** Digital raw materials and manufacturing values are bundled in a single value</t>
  </si>
  <si>
    <t>Units</t>
  </si>
  <si>
    <t>Quantity</t>
  </si>
  <si>
    <t>Source</t>
  </si>
  <si>
    <t>Source 2</t>
  </si>
  <si>
    <t>Source 3</t>
  </si>
  <si>
    <t>RAW MATERIALS</t>
  </si>
  <si>
    <t>Silver Mining</t>
  </si>
  <si>
    <t>COST</t>
  </si>
  <si>
    <t>.</t>
  </si>
  <si>
    <t>Cost per Troy Ounce Silver (2013)</t>
  </si>
  <si>
    <t>$/troy ounce</t>
  </si>
  <si>
    <t>MCS</t>
  </si>
  <si>
    <t>Cost per Kilogram of Silver</t>
  </si>
  <si>
    <t>$/kg of silver</t>
  </si>
  <si>
    <t>calculated</t>
  </si>
  <si>
    <t>Primary Refined Silver (newly mined) in 2013</t>
  </si>
  <si>
    <t>tons</t>
  </si>
  <si>
    <t>Total Refined Silver (newly mined and recycled) in 2013</t>
  </si>
  <si>
    <t>% Mined for 2013</t>
  </si>
  <si>
    <t>%</t>
  </si>
  <si>
    <t>ENERGY</t>
  </si>
  <si>
    <t>Energy Demand Megajoules per $ Silver output</t>
  </si>
  <si>
    <t>MJ/$ silver output</t>
  </si>
  <si>
    <t>USEEIO</t>
  </si>
  <si>
    <t>Energy Demand Kilowatt Hours per $ Silver output</t>
  </si>
  <si>
    <t>kWh/$ silver output</t>
  </si>
  <si>
    <t>Energy Demand Kilowatt Hours per kg Silver Mined</t>
  </si>
  <si>
    <t>kWh/kg of silver</t>
  </si>
  <si>
    <t>Average Energy Impacts (based on % mined)</t>
  </si>
  <si>
    <t>kWh/kg of sivler</t>
  </si>
  <si>
    <t>WATER</t>
  </si>
  <si>
    <t>Water Use Cubic Meter per $ Silver Output</t>
  </si>
  <si>
    <t>m^3/$</t>
  </si>
  <si>
    <t>Water Use Gallons per $ Silver Output</t>
  </si>
  <si>
    <t>gal/$</t>
  </si>
  <si>
    <t>Water Demand per Kilogram of Silver</t>
  </si>
  <si>
    <t>gal/kg of silver</t>
  </si>
  <si>
    <t>Average Water Impacts (based on % mined)</t>
  </si>
  <si>
    <t>CO2e EMISSIONS</t>
  </si>
  <si>
    <t>CO2e Emissions Kilogram per $ Silver Output</t>
  </si>
  <si>
    <t>kg of CO2e/$</t>
  </si>
  <si>
    <t>CO2e Emissions per Kilogram Silver</t>
  </si>
  <si>
    <t>kg of CO2e/kg of silver</t>
  </si>
  <si>
    <t>Average CO2 Impacts (based on % mined)</t>
  </si>
  <si>
    <t>HAZARDOUS WASTE</t>
  </si>
  <si>
    <t>BHWR</t>
  </si>
  <si>
    <t>2017 Helca Lucky Friday Mine Haz Waste Generation</t>
  </si>
  <si>
    <t>short tons</t>
  </si>
  <si>
    <t>HWRS</t>
  </si>
  <si>
    <t>2017 Helca Waste Generation in Kilograms</t>
  </si>
  <si>
    <t>kg</t>
  </si>
  <si>
    <t>2017 Helca Lucky Friday Mine Silver Production</t>
  </si>
  <si>
    <t>ounces</t>
  </si>
  <si>
    <t>LF</t>
  </si>
  <si>
    <t>2017 Helca Lucky Friday Mine Lead Production</t>
  </si>
  <si>
    <t>2017 Helca Lucky Friday Mine Zinc Production</t>
  </si>
  <si>
    <t>2017 Helca Lucky Friday Mine Total Production</t>
  </si>
  <si>
    <t>2017 Helca Lucky Friday Mine Proportion of Silver Production</t>
  </si>
  <si>
    <t>ounces silver/ounces total</t>
  </si>
  <si>
    <t>Waste Attributed to Silver Based on Proportion of Production</t>
  </si>
  <si>
    <t>2017 Helca Lucky Friday Mine Silver Production in kg</t>
  </si>
  <si>
    <t>Kilograms of Waste per Kilograms of Silver</t>
  </si>
  <si>
    <t>kg of waste/kg of silver</t>
  </si>
  <si>
    <t>Average Hazardous Waste Impacts (based on % mined)</t>
  </si>
  <si>
    <t>Eastman Manufacturing Values</t>
  </si>
  <si>
    <t>2019 Total Sales Revenue</t>
  </si>
  <si>
    <t>$</t>
  </si>
  <si>
    <t>EESG</t>
  </si>
  <si>
    <t>2019 Total Energy Consumption</t>
  </si>
  <si>
    <t>MWh</t>
  </si>
  <si>
    <t>Energy Intensity - Megawatt Hours per Unit Total Revenue</t>
  </si>
  <si>
    <t>MWh/$</t>
  </si>
  <si>
    <t>Energy Intensity - Kilowatt Hours per Unit Total Revenue</t>
  </si>
  <si>
    <t>kWh/$</t>
  </si>
  <si>
    <t>2019 Water Consumption</t>
  </si>
  <si>
    <t>Ml</t>
  </si>
  <si>
    <t>Water Intensity - Megaaliters per Unit Total Revenue</t>
  </si>
  <si>
    <t>Ml/$</t>
  </si>
  <si>
    <t>Water Intensity - Gallons per Unit Total Revenue</t>
  </si>
  <si>
    <t>2019 Total Carbon Emissions (Scope 1 and 2)</t>
  </si>
  <si>
    <t>metric tons of CO2e</t>
  </si>
  <si>
    <t>GHG Emissions Intensity - Metric Tons CO2e per Unit Total Revenue</t>
  </si>
  <si>
    <t>metric tons of CO2e/$</t>
  </si>
  <si>
    <t>GHG Emissions Intensity - kg CO2e per Unit Total Revenue</t>
  </si>
  <si>
    <t>Haz Waste per kg of Chemicals</t>
  </si>
  <si>
    <t>kg of waste/kg of chemical</t>
  </si>
  <si>
    <t>Cellulose Acetate Base</t>
  </si>
  <si>
    <t>(Impacts per kg of cellulose acetate)</t>
  </si>
  <si>
    <t>Cost of Cellulose Acetate</t>
  </si>
  <si>
    <t>$/kg of cellulose acetate</t>
  </si>
  <si>
    <t>CA</t>
  </si>
  <si>
    <t>Energy Demand per kg of Cellulose Acetate</t>
  </si>
  <si>
    <t>kWh/kg of chemical</t>
  </si>
  <si>
    <t>Water Demand per kg of Cellulose Acetate</t>
  </si>
  <si>
    <t>gal/kg of chemical</t>
  </si>
  <si>
    <t>CO2e Emissions per kg of Cellulose Acetate</t>
  </si>
  <si>
    <t>kg of CO2e/kg of chemical</t>
  </si>
  <si>
    <t>Emulsion Layers</t>
  </si>
  <si>
    <t>(comprised of gelatin and a mix of other chemicals in smaller amounts)</t>
  </si>
  <si>
    <t>Cost of Gelatin</t>
  </si>
  <si>
    <t>$/kg of gelatin</t>
  </si>
  <si>
    <t>KE</t>
  </si>
  <si>
    <t>Cost of Other Chemicals in Emulsions</t>
  </si>
  <si>
    <t>$/kg other chemicals</t>
  </si>
  <si>
    <t>Gelatin % by Weight of Emulsion Layers</t>
  </si>
  <si>
    <t>kg gelatin/kg emulsion</t>
  </si>
  <si>
    <t>Other Chemicals % by Weight of Emulsion Layers</t>
  </si>
  <si>
    <t>kg other chem/kg emulsion</t>
  </si>
  <si>
    <t>Gelatin Contribution to Emulsion Cost</t>
  </si>
  <si>
    <t>$/emulsion</t>
  </si>
  <si>
    <t>Other Chemicals Contribution to Emulsion Cost</t>
  </si>
  <si>
    <t>Total Average Cost of Emulsion Layer Chemicals</t>
  </si>
  <si>
    <t>$/kg of emulsion chemical</t>
  </si>
  <si>
    <t>Energy Demand per Kilogram of Chemicals</t>
  </si>
  <si>
    <t>Water Demand per Kilogram of Chemicals</t>
  </si>
  <si>
    <t>CO2e Emissions per Kilogram of Chemicals</t>
  </si>
  <si>
    <t>Film Weight Breakdown</t>
  </si>
  <si>
    <t>Film Width</t>
  </si>
  <si>
    <t>mm</t>
  </si>
  <si>
    <t>Film Length (1000ft roll)</t>
  </si>
  <si>
    <t>ft</t>
  </si>
  <si>
    <t>Film Length in Meters</t>
  </si>
  <si>
    <t>m</t>
  </si>
  <si>
    <t>Film Surface Area</t>
  </si>
  <si>
    <t>m^2</t>
  </si>
  <si>
    <t>Base Height</t>
  </si>
  <si>
    <t>um</t>
  </si>
  <si>
    <t>Base Volume</t>
  </si>
  <si>
    <t>m^3</t>
  </si>
  <si>
    <t>Density of Base</t>
  </si>
  <si>
    <t>kg/m^3</t>
  </si>
  <si>
    <t>Mass of Base per Roll</t>
  </si>
  <si>
    <t>Emulsion Height</t>
  </si>
  <si>
    <t>Emulsion Volume</t>
  </si>
  <si>
    <t>Density of Emulsion Layers (minus silver, approximated as gelatin)</t>
  </si>
  <si>
    <t>g/mL</t>
  </si>
  <si>
    <t>GH</t>
  </si>
  <si>
    <t>Density of Gelatin Emulsion Layers in Kilograms per Cubic Meter</t>
  </si>
  <si>
    <t>Mass of Emulsion Layers per Roll</t>
  </si>
  <si>
    <t>Mass of Silver</t>
  </si>
  <si>
    <t>mg/ft^2</t>
  </si>
  <si>
    <t>Mass of Silver per Square Meter</t>
  </si>
  <si>
    <t>kg/m^2</t>
  </si>
  <si>
    <t>Mass of Silver per Roll</t>
  </si>
  <si>
    <t>Total Mass of 1000ft Film Roll</t>
  </si>
  <si>
    <t>Mass of Film per Foot</t>
  </si>
  <si>
    <t>kg of film/ft of film</t>
  </si>
  <si>
    <t>Base % by Weight of Film</t>
  </si>
  <si>
    <t>kg of base/kg of film (as decimal)</t>
  </si>
  <si>
    <t>Emulsion Layers % by Weight of Film</t>
  </si>
  <si>
    <t>kg of emulsion/kg of film (as decimal)</t>
  </si>
  <si>
    <t>Silver % by Weight of Film</t>
  </si>
  <si>
    <t>kg of silver/kg of film (as decimal)</t>
  </si>
  <si>
    <t>Cellulose Acetate Base Impacts Contribution to Total</t>
  </si>
  <si>
    <t>Energy Use</t>
  </si>
  <si>
    <t>kWh/kg of film</t>
  </si>
  <si>
    <t>Water Use</t>
  </si>
  <si>
    <t>gal/kg of film</t>
  </si>
  <si>
    <t>CO2 Emissions</t>
  </si>
  <si>
    <t>kg/kg of film</t>
  </si>
  <si>
    <t>Hazardous Waste</t>
  </si>
  <si>
    <t>Emulsion Layers Impacts Contribution to Total</t>
  </si>
  <si>
    <t>Silver Impacts Contribution to Total (30% NEW MINED)</t>
  </si>
  <si>
    <t>Total Raw Material Impacts per kg film</t>
  </si>
  <si>
    <t>Total Energy Use</t>
  </si>
  <si>
    <t>Total Water Use</t>
  </si>
  <si>
    <t>Total CO2 Emissions</t>
  </si>
  <si>
    <t>Total Hazardous Waste</t>
  </si>
  <si>
    <t>TOTAL RAW MATERIAL IMPACTS PER 1 HOUR EDITABLE FILM</t>
  </si>
  <si>
    <t>kWh/1 hour film</t>
  </si>
  <si>
    <t xml:space="preserve">Total Water Use </t>
  </si>
  <si>
    <t>gal/1 hour film</t>
  </si>
  <si>
    <t>kg/1 hour film</t>
  </si>
  <si>
    <t>MANUFACTURING</t>
  </si>
  <si>
    <t>KODAK FILM PRODUCTION PER YEAR</t>
  </si>
  <si>
    <t>Amount of Film Produced by a Kodak Coating Machine per Minute</t>
  </si>
  <si>
    <t>ft/min/machine</t>
  </si>
  <si>
    <t>Minutes per Hour of Machine Operation</t>
  </si>
  <si>
    <t>min/hr</t>
  </si>
  <si>
    <t>Hours per Day of Machine Operation</t>
  </si>
  <si>
    <t>hr/day</t>
  </si>
  <si>
    <t>Number of Days in a Year that Machines Operate</t>
  </si>
  <si>
    <t>days/year</t>
  </si>
  <si>
    <t>Number of Coating Machines at Kodak</t>
  </si>
  <si>
    <t># of machines</t>
  </si>
  <si>
    <t>Feet of Film Produced by Kodak per Year</t>
  </si>
  <si>
    <t>ft of film/year</t>
  </si>
  <si>
    <t>Manufacturing Assumptions</t>
  </si>
  <si>
    <t>% OF WORLDWIDE KODAK OPERATION IMPACTS ATTRIBUTABLE TO FILM PRODUCTION</t>
  </si>
  <si>
    <t>Net Sales Global (2017)</t>
  </si>
  <si>
    <t>million USD</t>
  </si>
  <si>
    <t>EKCAR</t>
  </si>
  <si>
    <t>Net Revenue Consumer and Film (2017)</t>
  </si>
  <si>
    <t>Operational Earnings Before Taxes Consumer and Film</t>
  </si>
  <si>
    <t>Operation Earnings Before Taxes Total Kodak</t>
  </si>
  <si>
    <t>Number of Kodak Facilities Worldwide</t>
  </si>
  <si>
    <t># of facilities global</t>
  </si>
  <si>
    <t>Number of Kodak Facilities with Consumer &amp; Film Operations</t>
  </si>
  <si>
    <t>Total Number of Kodak Sectors of Operation</t>
  </si>
  <si>
    <t># of sectors global</t>
  </si>
  <si>
    <t>% of Worldwide Kodak Operation Impacts Attributable to Consumer and Film Sector</t>
  </si>
  <si>
    <t>ratio</t>
  </si>
  <si>
    <t>Chemical Manufacturing and Film Assembly</t>
  </si>
  <si>
    <t>Kodak Worldwide Energy Usage in a Year (2017)</t>
  </si>
  <si>
    <t>TJ/year</t>
  </si>
  <si>
    <t>EKCCRR</t>
  </si>
  <si>
    <t>% of Kodak Operations dedicated to Consumer and Film</t>
  </si>
  <si>
    <t xml:space="preserve">Kodak Energy Usage for Consumer and Film sector in a year </t>
  </si>
  <si>
    <t>kWh/year</t>
  </si>
  <si>
    <t>Amount of Film Produced by Kodak in a Year</t>
  </si>
  <si>
    <t>ft/year</t>
  </si>
  <si>
    <t>Feet of Film per Hour of Film</t>
  </si>
  <si>
    <t>ft/hour of film</t>
  </si>
  <si>
    <t>kWh of Energy per Hour of Film Manufactured</t>
  </si>
  <si>
    <t>kWh/hour of film</t>
  </si>
  <si>
    <t>Worldwide Greenhouse Gas Emissions by Kodak in a Year (2017)</t>
  </si>
  <si>
    <t>metric tons CO2e/year</t>
  </si>
  <si>
    <t>Greenhouse Gas Emissions by Consumer and Film sector</t>
  </si>
  <si>
    <t>kg CO2e/year</t>
  </si>
  <si>
    <t>kg of CO2e per Hour of Film Manufactured</t>
  </si>
  <si>
    <t>Worldwide Water Use by Kodak in a Year (2017)</t>
  </si>
  <si>
    <t>million m^3/year</t>
  </si>
  <si>
    <t>% of Kodak Operations Dedicated to Consumer and Film</t>
  </si>
  <si>
    <t>Kodak Water Usage for Consumer and Film Sector</t>
  </si>
  <si>
    <t>gal/year</t>
  </si>
  <si>
    <t>Total Water Withdrawals per Hour of Editable Film</t>
  </si>
  <si>
    <t>Worldwide Hazardous Waste by Kodak in a Year (2017)</t>
  </si>
  <si>
    <t>metric tons waste</t>
  </si>
  <si>
    <t>Kodak Hazardous Waste Produced for Consumer and Film Sector</t>
  </si>
  <si>
    <t>kg waste/year</t>
  </si>
  <si>
    <t>Total Hazardous Waste Released per Hour of Editable Film</t>
  </si>
  <si>
    <t>kg waste/hour of film</t>
  </si>
  <si>
    <t>TOTAL MANUFACTURING IMPACTS PER 1 HOUR EDITABLE FILM</t>
  </si>
  <si>
    <t>kWh/hr film</t>
  </si>
  <si>
    <t>gal/hr film</t>
  </si>
  <si>
    <t>kg CO2e/hr film</t>
  </si>
  <si>
    <t>kg haz waste/hr film</t>
  </si>
  <si>
    <t>TRANSPORTATION</t>
  </si>
  <si>
    <t>CO2 EMISSIONS</t>
  </si>
  <si>
    <t>Vehicle Mileage per Truck</t>
  </si>
  <si>
    <t>mi/gal</t>
  </si>
  <si>
    <t>GSRH</t>
  </si>
  <si>
    <t>CO2 Emissions per Gallon (of Gasoline)</t>
  </si>
  <si>
    <t>kg/Gal</t>
  </si>
  <si>
    <t>Dailies Trips</t>
  </si>
  <si>
    <t>#</t>
  </si>
  <si>
    <t>HK</t>
  </si>
  <si>
    <t>LG</t>
  </si>
  <si>
    <t>Speed</t>
  </si>
  <si>
    <t>mph</t>
  </si>
  <si>
    <t>Miles per Trip</t>
  </si>
  <si>
    <t>Miles</t>
  </si>
  <si>
    <t>Transport Time per trip</t>
  </si>
  <si>
    <t>hours</t>
  </si>
  <si>
    <t xml:space="preserve">Total Transport Time </t>
  </si>
  <si>
    <t>Transport emissions intensity per trip</t>
  </si>
  <si>
    <t>kg of CO2</t>
  </si>
  <si>
    <t>Average CO2 emissions per day</t>
  </si>
  <si>
    <t>Round Trip</t>
  </si>
  <si>
    <t>Airplane Mileage/Fuel Efficiency</t>
  </si>
  <si>
    <t>miles/gal</t>
  </si>
  <si>
    <t>per 1 airplane</t>
  </si>
  <si>
    <t>CO2 Emissions per Gallon (of Jet Fuel)</t>
  </si>
  <si>
    <t>Daily Trips</t>
  </si>
  <si>
    <t>film not returned</t>
  </si>
  <si>
    <t>Annual total GHGE for aircrafts</t>
  </si>
  <si>
    <t>Tg CO2 Eq</t>
  </si>
  <si>
    <t>https://www.transportation.gov/sustainability/climate/transportation-ghg-emissions-and-trends</t>
  </si>
  <si>
    <t>Total CO2 emissions by ground and air per day</t>
  </si>
  <si>
    <t>Annual CO2 Emissions per Single Unit Short-haul Truck</t>
  </si>
  <si>
    <t>AFLEET</t>
  </si>
  <si>
    <t>Annual GHG Emissions for Vehicle</t>
  </si>
  <si>
    <t>USDT</t>
  </si>
  <si>
    <t xml:space="preserve">GHGEs per Day </t>
  </si>
  <si>
    <t>kg of GHGE</t>
  </si>
  <si>
    <t>GHGEs per Trip</t>
  </si>
  <si>
    <t>DEVELOPMENT</t>
  </si>
  <si>
    <t>Developing</t>
  </si>
  <si>
    <t>color develop amount</t>
  </si>
  <si>
    <t>L</t>
  </si>
  <si>
    <t>https://www.kodak.com/content/products-brochures/Film/Using-KODAK-Kit-Chemicals-in-Motion-Picture-Film-Laboratories.pdf</t>
  </si>
  <si>
    <t>color developer replenishment rate</t>
  </si>
  <si>
    <t>mL/ft</t>
  </si>
  <si>
    <t>bleach mix amount</t>
  </si>
  <si>
    <t>bleach replenishment rate</t>
  </si>
  <si>
    <t>4</t>
  </si>
  <si>
    <t>first fixer amount</t>
  </si>
  <si>
    <t>66.6</t>
  </si>
  <si>
    <t>first fixer replenishment rate</t>
  </si>
  <si>
    <t>second fixer amount</t>
  </si>
  <si>
    <t>wash amount</t>
  </si>
  <si>
    <t>wash replenishment rate</t>
  </si>
  <si>
    <t>final rinse replenishment rate</t>
  </si>
  <si>
    <t>Rinse water ratio</t>
  </si>
  <si>
    <t>gal/ft</t>
  </si>
  <si>
    <t>EPA Prelimary Summary https://www.epa.gov/sites/production/files/2015-11/documents/photoprocessing_prelim-data-summary_1997.pdf</t>
  </si>
  <si>
    <t>Rinse waste-water - Total</t>
  </si>
  <si>
    <t>gal/ft of developed film</t>
  </si>
  <si>
    <t>Amount of Film and Paper Developed per Year</t>
  </si>
  <si>
    <t>ft^2/year</t>
  </si>
  <si>
    <t>EPAPDS</t>
  </si>
  <si>
    <t>Amount of Film Developed per Year</t>
  </si>
  <si>
    <t>Functional Units per Year</t>
  </si>
  <si>
    <t>F.U./year</t>
  </si>
  <si>
    <t>SJSU 55</t>
  </si>
  <si>
    <t>Exposures per Functional Unit</t>
  </si>
  <si>
    <t>exposure/F.U.</t>
  </si>
  <si>
    <t>SJSU 45</t>
  </si>
  <si>
    <t>Total Energy Use for Processing</t>
  </si>
  <si>
    <t>SJSU 59</t>
  </si>
  <si>
    <t>Energy per Exposure</t>
  </si>
  <si>
    <t>kWh/exposure</t>
  </si>
  <si>
    <t>Energy per Hour of Film</t>
  </si>
  <si>
    <t>Total Water Use for Industry</t>
  </si>
  <si>
    <t>gals</t>
  </si>
  <si>
    <t>Ratio of Water Use for Paper Over Film</t>
  </si>
  <si>
    <t>gal for paper/gal for film</t>
  </si>
  <si>
    <t>SJSU 71</t>
  </si>
  <si>
    <t>Water per Square Feet of film</t>
  </si>
  <si>
    <t>gal/ft^2 of film</t>
  </si>
  <si>
    <t>Square Feet per Hour of film</t>
  </si>
  <si>
    <t>ft^2/hour of film</t>
  </si>
  <si>
    <t>Water Demand per Hour of Film</t>
  </si>
  <si>
    <t>gal/hour of film</t>
  </si>
  <si>
    <t>Total CO2 for Processing</t>
  </si>
  <si>
    <t>kg/year</t>
  </si>
  <si>
    <t>SJSU 63</t>
  </si>
  <si>
    <t>CO2 per Exposure</t>
  </si>
  <si>
    <t>kg CO2/exposure</t>
  </si>
  <si>
    <t>CO2 per Hour of Film</t>
  </si>
  <si>
    <t>kg CO2/1 hour film</t>
  </si>
  <si>
    <t>Hazardous Waste for Industry</t>
  </si>
  <si>
    <t>lbs</t>
  </si>
  <si>
    <t>Waste in Kilograms</t>
  </si>
  <si>
    <t>Total Film and Paper Processed per Year</t>
  </si>
  <si>
    <t>ft^2 of film/year</t>
  </si>
  <si>
    <t>Hazardous Waste per Square Feet of Film</t>
  </si>
  <si>
    <t>kg/ft^2</t>
  </si>
  <si>
    <t>Square Feet per Hour of Film</t>
  </si>
  <si>
    <t xml:space="preserve">Hazardous Waste per Hour of Film </t>
  </si>
  <si>
    <t>POST PROCESSING IMPACTS 1 HOUR EDITABLE FILM</t>
  </si>
  <si>
    <t>kg CO2e/1 hour film</t>
  </si>
  <si>
    <t>kg waste/hour film</t>
  </si>
  <si>
    <t>Cost of Silver per Troy Ounce</t>
  </si>
  <si>
    <t>IM</t>
  </si>
  <si>
    <t>SUM:</t>
  </si>
  <si>
    <t>AVERAGE:</t>
  </si>
  <si>
    <t>RAW MATERIALS AND MANUFACTURING</t>
  </si>
  <si>
    <t>Total Material Impacts</t>
  </si>
  <si>
    <t>TJ/120 mm^2 die</t>
  </si>
  <si>
    <t>EDW 5508(Figure 3)</t>
  </si>
  <si>
    <t>Terajoules per 58.18 mm^2 die</t>
  </si>
  <si>
    <t>TJ/die</t>
  </si>
  <si>
    <t>Kilowatt Hours per Die</t>
  </si>
  <si>
    <t>kWh/die</t>
  </si>
  <si>
    <t>Kilowatt Hours per SD Card</t>
  </si>
  <si>
    <t>kWh/SD Card</t>
  </si>
  <si>
    <t xml:space="preserve">Plastic Packaging Production </t>
  </si>
  <si>
    <t>kWh/kg</t>
  </si>
  <si>
    <t>OEM</t>
  </si>
  <si>
    <t>Overal SD Card Weight</t>
  </si>
  <si>
    <t>g of SD Card</t>
  </si>
  <si>
    <t>MRT</t>
  </si>
  <si>
    <t>Semiconductor Chip Weight</t>
  </si>
  <si>
    <t>EDW 5508</t>
  </si>
  <si>
    <t>Packaging Weight</t>
  </si>
  <si>
    <t>Kilograms per SD Card</t>
  </si>
  <si>
    <t>kg/SD Card</t>
  </si>
  <si>
    <t>kg/cm^2 of die</t>
  </si>
  <si>
    <t>Liters per Square Centimeter of Die</t>
  </si>
  <si>
    <t xml:space="preserve">ltrs/cm^2 </t>
  </si>
  <si>
    <t>Liters per Square Milimeter of Die</t>
  </si>
  <si>
    <t xml:space="preserve">ltrs/mm^2 </t>
  </si>
  <si>
    <t>Gallons per Square Milimeter of Die</t>
  </si>
  <si>
    <t>gal/mm^2</t>
  </si>
  <si>
    <t>Gallons per Die</t>
  </si>
  <si>
    <t>gal/die</t>
  </si>
  <si>
    <t>Gallons per SD Card</t>
  </si>
  <si>
    <t>gal/SD Card</t>
  </si>
  <si>
    <t>gal/lb</t>
  </si>
  <si>
    <t>WFC</t>
  </si>
  <si>
    <t>Gallons per Kilogram</t>
  </si>
  <si>
    <t>gal/kg</t>
  </si>
  <si>
    <t>kg of CO2e/SSD</t>
  </si>
  <si>
    <t>KOHOSSD</t>
  </si>
  <si>
    <t>Terabytes per SSD</t>
  </si>
  <si>
    <t>TB/SSD</t>
  </si>
  <si>
    <t>Kilograms of CO2e per Terabyte</t>
  </si>
  <si>
    <t>kg CO2e/TB</t>
  </si>
  <si>
    <t>Kilograms of CO2e per SD card</t>
  </si>
  <si>
    <t>kg CO2e/SD Card</t>
  </si>
  <si>
    <t>kg of 1,4-DBeq/TB</t>
  </si>
  <si>
    <t>NYTRO</t>
  </si>
  <si>
    <t>Kilograms of Waste per SD Card</t>
  </si>
  <si>
    <t>kg waste/SD Card</t>
  </si>
  <si>
    <t>SB 79</t>
  </si>
  <si>
    <t>SD Card Specifics</t>
  </si>
  <si>
    <t>Size of Film Storage Used</t>
  </si>
  <si>
    <t>TB</t>
  </si>
  <si>
    <t>EH</t>
  </si>
  <si>
    <t>Total Data Storage per SD Card</t>
  </si>
  <si>
    <t>TB/SD Card</t>
  </si>
  <si>
    <t>Memory Density in Gigabytes per Area of Die</t>
  </si>
  <si>
    <t>Gb/mm^2</t>
  </si>
  <si>
    <t>TI</t>
  </si>
  <si>
    <t>Terabytes per Area of Die</t>
  </si>
  <si>
    <t>TB/mm^2</t>
  </si>
  <si>
    <t>Die Area</t>
  </si>
  <si>
    <t>mm^2</t>
  </si>
  <si>
    <t>Total Data Storage per Die</t>
  </si>
  <si>
    <t>TB/die</t>
  </si>
  <si>
    <t>Total Amount of Die per SD Card</t>
  </si>
  <si>
    <t>die/SD Card</t>
  </si>
  <si>
    <t>SD Cards Used per Hour of Shooting</t>
  </si>
  <si>
    <t>SD Card/hr</t>
  </si>
  <si>
    <t>TOTAL IMPACTS PER 1 HOUR OF EDITABLE FOOTAGE</t>
  </si>
  <si>
    <t>kWh/1 hour footage</t>
  </si>
  <si>
    <t>gal/1 hour footage</t>
  </si>
  <si>
    <t xml:space="preserve">Total CO2 Emissions </t>
  </si>
  <si>
    <t>kg/1 hour footage</t>
  </si>
  <si>
    <t>Vehicle Mileage per 1 Truck</t>
  </si>
  <si>
    <t>UHAUL</t>
  </si>
  <si>
    <t>CO2 emissions per gallon</t>
  </si>
  <si>
    <t>US Energy Information Administration</t>
  </si>
  <si>
    <t>yelow = assumption</t>
  </si>
  <si>
    <t>https://www.eia.gov/environment/emissions/co2_vol_mass.php</t>
  </si>
  <si>
    <t>blue = calculation</t>
  </si>
  <si>
    <t>Miles per trip</t>
  </si>
  <si>
    <t xml:space="preserve">miles </t>
  </si>
  <si>
    <t>Heidi and Laura</t>
  </si>
  <si>
    <t xml:space="preserve">assume a show is shooting in the same zone </t>
  </si>
  <si>
    <t>Transport time per trip</t>
  </si>
  <si>
    <t>calculations</t>
  </si>
  <si>
    <t>HBO main office in LA: 2500 Broadway #4, Santa Monica, CA 90404</t>
  </si>
  <si>
    <t xml:space="preserve">Total transport time </t>
  </si>
  <si>
    <t>https://film.ca.gov/locations/la-studio-zones/</t>
  </si>
  <si>
    <t>334 miles / 55 mph</t>
  </si>
  <si>
    <t>Annual CO2 Emissions per Single Unit Short-haul Truck per Year</t>
  </si>
  <si>
    <t>Total CO2 Emissions per Day</t>
  </si>
  <si>
    <t xml:space="preserve">CO2 per Day </t>
  </si>
  <si>
    <t>kg of GHGEs</t>
  </si>
  <si>
    <t>CO2 per Trip</t>
  </si>
  <si>
    <t>cost of gas (average CA gas)</t>
  </si>
  <si>
    <t>$/g gas</t>
  </si>
  <si>
    <t>https://gasprices.aaa.com/state-gas-price-averages/</t>
  </si>
  <si>
    <t>Energy - EIOLCA economic output</t>
  </si>
  <si>
    <t>TJ/$1mil</t>
  </si>
  <si>
    <t>EIOLCA</t>
  </si>
  <si>
    <t>/unit conversion/ Energy in kWh</t>
  </si>
  <si>
    <t>kWh/$1mill</t>
  </si>
  <si>
    <t>/unit conversion/ Energy per $</t>
  </si>
  <si>
    <t>Energy demand per gal of gas</t>
  </si>
  <si>
    <t>kWh/g gas</t>
  </si>
  <si>
    <t>Water - EIOLCA economic output</t>
  </si>
  <si>
    <t>kGal of water/$1mill</t>
  </si>
  <si>
    <t>/unit conversion/ water in gal</t>
  </si>
  <si>
    <t>gal of water/$1mill</t>
  </si>
  <si>
    <t>/unit conversion/ gal per $</t>
  </si>
  <si>
    <t>gal of water/$</t>
  </si>
  <si>
    <t>Water demand per gal of gas</t>
  </si>
  <si>
    <t>gal of water/gal of gas</t>
  </si>
  <si>
    <t>RCRA Haz Waste - EIOLCA economic output</t>
  </si>
  <si>
    <t>short ton waste/$1mill</t>
  </si>
  <si>
    <t>/unit conversion/ waste in kg</t>
  </si>
  <si>
    <t>kg waste/$1mill</t>
  </si>
  <si>
    <t>/unit conversion/ waste per $</t>
  </si>
  <si>
    <t>kg waste/$</t>
  </si>
  <si>
    <t>Haz waste per gal of gas</t>
  </si>
  <si>
    <t>kg waste/gal of gas</t>
  </si>
  <si>
    <t>Unit Conversions</t>
  </si>
  <si>
    <t>MASS</t>
  </si>
  <si>
    <t>Troy ounce to Kilogram</t>
  </si>
  <si>
    <t>kg/troy ounce</t>
  </si>
  <si>
    <t>https://www.metric-conversions.org/weight/troy-ounces-to-grams.htm</t>
  </si>
  <si>
    <t>Megaliter to Gallon</t>
  </si>
  <si>
    <t>gal/megaliter</t>
  </si>
  <si>
    <t>https://www.metric-conversions.org/volume/us-liquid-gallons-to-liters.htm</t>
  </si>
  <si>
    <t>Metric tons to Kilogram</t>
  </si>
  <si>
    <t>kg/metric ton</t>
  </si>
  <si>
    <t>https://www.metric-conversions.org/weight/metric-tons-to-kilograms.htm</t>
  </si>
  <si>
    <t>Miligram to Kilogram</t>
  </si>
  <si>
    <t>kg/mg</t>
  </si>
  <si>
    <t>https://www.metric-conversions.org/weight/milligrams-to-kilograms.htm</t>
  </si>
  <si>
    <t>Short tons to Kilogram</t>
  </si>
  <si>
    <t>kg/short ton</t>
  </si>
  <si>
    <t>https://www.metric-conversions.org/weight/short-tons-to-kilograms.htm</t>
  </si>
  <si>
    <t>Cubic Meters of Water to Gallon</t>
  </si>
  <si>
    <t>gal/m^3</t>
  </si>
  <si>
    <t>https://www.metric-conversions.org/volume/cubic-meters-to-us-liquid-gallons.htm</t>
  </si>
  <si>
    <t>Million Cubic Meters of Water to Gallon</t>
  </si>
  <si>
    <t>gal/million m^3</t>
  </si>
  <si>
    <t>https://www.convertunits.com/from/gallons/to/million+cubic+metre</t>
  </si>
  <si>
    <t>Pound to Kilogram</t>
  </si>
  <si>
    <t>kg/lb</t>
  </si>
  <si>
    <t>https://www.metric-conversions.org/weight/pounds-to-kilograms.htm</t>
  </si>
  <si>
    <t>Short Tons to Ounces</t>
  </si>
  <si>
    <t>ounces/ton</t>
  </si>
  <si>
    <t>https://www.metric-conversions.org/weight/short-tons-to-ounces.htm</t>
  </si>
  <si>
    <t>Ounce to Kilogram</t>
  </si>
  <si>
    <t>kg/ounce</t>
  </si>
  <si>
    <t>https://www.metric-conversions.org/weight/ounces-to-kilograms.htm</t>
  </si>
  <si>
    <t>Kilogram to Gram</t>
  </si>
  <si>
    <t>g/kg</t>
  </si>
  <si>
    <t>https://www.metric-conversions.org/weight/kilograms-to-grams.htm</t>
  </si>
  <si>
    <t>Liter of Water to Kilogram of Water</t>
  </si>
  <si>
    <t>kg/L</t>
  </si>
  <si>
    <t>https://metric-calculator.com/convert-kg-to-liter.htm#:~:text=1%20kilogram%20(kg)%20%3D%201%20liter%20(l).</t>
  </si>
  <si>
    <t>Liter to Gallon</t>
  </si>
  <si>
    <t>gal/L</t>
  </si>
  <si>
    <t>https://www.unitconverters.net/volume/liters-to-gallons.htm</t>
  </si>
  <si>
    <t>Megawatt Hours to Kilowatt Hours</t>
  </si>
  <si>
    <t>kWh/MWh</t>
  </si>
  <si>
    <t>https://www.metric-conversions.org/energy-and-power/megawatt-hours-to-kilowatt-hours.htm</t>
  </si>
  <si>
    <t>Terajoules to Kilowatt Hours</t>
  </si>
  <si>
    <t>TJ/kWh</t>
  </si>
  <si>
    <t>https://www.convertunits.com/from/TJ/to/kilowatt+hours</t>
  </si>
  <si>
    <t>Kilowatt Hours to Megajoules</t>
  </si>
  <si>
    <t>kWh/MJ</t>
  </si>
  <si>
    <t>https://www.convertunits.com/from/kwh/to/MJ</t>
  </si>
  <si>
    <t>LENGTH</t>
  </si>
  <si>
    <t>Feet to Meters</t>
  </si>
  <si>
    <t>m/ft</t>
  </si>
  <si>
    <t>https://www.metric-conversions.org/length/meters-to-feet.htm</t>
  </si>
  <si>
    <t>Milimeters to Meter</t>
  </si>
  <si>
    <t>m/mm</t>
  </si>
  <si>
    <t>https://www.metric-conversions.org/length/meters-to-millimeters.htm</t>
  </si>
  <si>
    <t>Micrometers to Meter</t>
  </si>
  <si>
    <t>m/um</t>
  </si>
  <si>
    <t>https://www.metric-conversions.org/length/meters-to-micrometers.htm</t>
  </si>
  <si>
    <t>Square Centimeters to Square Milimeters</t>
  </si>
  <si>
    <t>mm^2/cm^2</t>
  </si>
  <si>
    <t>https://www.conversionunites.com/converter-square-centimetre-to-square-millimetre</t>
  </si>
  <si>
    <t>DENSITY</t>
  </si>
  <si>
    <t xml:space="preserve">Grams per Milileter to Kilograms per Cubic Meter </t>
  </si>
  <si>
    <t>(kg/m^3)/(g/mL)</t>
  </si>
  <si>
    <t>https://www.unitjuggler.com/convert-density-from-gpermL-to-kgperm3.html</t>
  </si>
  <si>
    <t>AREA</t>
  </si>
  <si>
    <t>Square Feet to Square Meter</t>
  </si>
  <si>
    <t>m^2/ft^2</t>
  </si>
  <si>
    <t>https://www.metric-conversions.org/area/square-feet-to-square-meters.htm</t>
  </si>
  <si>
    <t>TIME</t>
  </si>
  <si>
    <t>Annual to Day</t>
  </si>
  <si>
    <t>day/year</t>
  </si>
  <si>
    <t>https://www.rapidtables.com/calc/time/days-in-year.html</t>
  </si>
  <si>
    <t>FILM SPECIFIC</t>
  </si>
  <si>
    <t>Frames per Second</t>
  </si>
  <si>
    <t>fps</t>
  </si>
  <si>
    <t>Frames per Foot of 35 mm</t>
  </si>
  <si>
    <t>frame/foot</t>
  </si>
  <si>
    <t>http://www.intervalometers.com/resource/</t>
  </si>
  <si>
    <t>Frames per Hour</t>
  </si>
  <si>
    <t>frame/hour</t>
  </si>
  <si>
    <t>Runtime in Feet of 35mm film per Minute at 24 fps</t>
  </si>
  <si>
    <t>ft/min</t>
  </si>
  <si>
    <t>https://www.kodak.com/content/products-brochures/Film/Kodak-Motion-Picture-Products-Price-Catalog-US.pdf</t>
  </si>
  <si>
    <t>Runtime in Feet per Hour</t>
  </si>
  <si>
    <t>ft/hour</t>
  </si>
  <si>
    <t>width of film</t>
  </si>
  <si>
    <t>DIGITAL SPECIFIC</t>
  </si>
  <si>
    <t>Gigabytes to Terabytes</t>
  </si>
  <si>
    <t>GB/TB</t>
  </si>
  <si>
    <t>https://www.unitconverters.net/prefixes/giga-to-tera.htm</t>
  </si>
  <si>
    <t>Abbreviation</t>
  </si>
  <si>
    <t>URL</t>
  </si>
  <si>
    <t>https://s3-us-west-2.amazonaws.com/prd-wret/assets/palladium/production/mineral-pubs/silver/mcs-2015-silve.pdf</t>
  </si>
  <si>
    <t>https://catalog.data.gov/dataset/useeio-v1-1-matrices </t>
  </si>
  <si>
    <t>https://www.epa.gov/hwgenerators/biennial-hazardous-waste-report</t>
  </si>
  <si>
    <t>https://rcrapublic.epa.gov/rcrainfoweb/documents/2019_br_file_specs.pdf;jsessionid=4CEAF6781F1AB037D93C3853231C6D62</t>
  </si>
  <si>
    <t>http://www.hecla-mining.com/lucky-friday/</t>
  </si>
  <si>
    <t>https://www.eastman.com/Company/investors/Documents/ESG-Databook.pdf</t>
  </si>
  <si>
    <t>https://www.sigmaaldrich.com/catalog/product/aldrich/419028?lang=en&amp;region=US</t>
  </si>
  <si>
    <t>https://nitta-gelatin.com/wp-content/uploads/2018/02/GMIA_Gelatin-Handbook.pdf</t>
  </si>
  <si>
    <t>https://www.annualreports.com/HostedData/AnnualReportArchive/e/NASDAQ_KODK_2017.pdf</t>
  </si>
  <si>
    <t>https://www.kodak.com/content/products-brochures/Company/Kodak-2017-Corporate-Responsibility-Report.pdf</t>
  </si>
  <si>
    <t>https://www.galpinstudiorentals.com/vehicle_specs.php</t>
  </si>
  <si>
    <t>https://www.epa.gov/sites/production/files/2015-11/documents/photoprocessing_prelim-data-summary_1997.pdf</t>
  </si>
  <si>
    <t>SJSU</t>
  </si>
  <si>
    <t>https://scholarworks.sjsu.edu/cgi/viewcontent.cgi?article=4919&amp;context=etd_theses</t>
  </si>
  <si>
    <t>https://www.indexmundi.com/commodities/?commodity=silver&amp;months=240</t>
  </si>
  <si>
    <t>Kodak Employee</t>
  </si>
  <si>
    <t>Heidi Kindberg - Director Of Sustainability, HBO West Coast Production</t>
  </si>
  <si>
    <t>Laura Gonzalez - Coordinator, Feature Post Production at Warner Bros. Entertainment</t>
  </si>
  <si>
    <t>EDW</t>
  </si>
  <si>
    <t>https://pubs.acs.org/doi/10.1021/es025643o</t>
  </si>
  <si>
    <t>https://learn.openenergymonitor.org/sustainable-energy/energy/industry-plastic</t>
  </si>
  <si>
    <t>https://www.watercalculator.org/footprint/the-hidden-water-in-everyday-products/</t>
  </si>
  <si>
    <t>https://www.hugdiy.com/sdhc-16gb-class-4-p-203</t>
  </si>
  <si>
    <t>https://www.seagate.com/files/www-content/global-citizenship/en-us/docs/seagate-koho-enterprise-ssd-lca-summary-2016-07-29.pdf </t>
  </si>
  <si>
    <t>https://www.seagate.com/global-citizenship/product-sustainability/nytro-1551-sustainability-report/</t>
  </si>
  <si>
    <t>SB</t>
  </si>
  <si>
    <t>https://escholarship.org/content/qt8bv2s63d/qt8bv2s63d.pdf</t>
  </si>
  <si>
    <t>https://www.techinsights.com/blog/intelmicron-64l-3d-nand-analysis </t>
  </si>
  <si>
    <t>https://www.uhaul.com/Blog/2013/03/09/estimating-mpg-for-your-next-moving-truck/</t>
  </si>
  <si>
    <t>https://afleet-web.es.anl.gov/afleet/ </t>
  </si>
  <si>
    <t>Erik Hansen - VP in Media and Production Services for HBO</t>
  </si>
  <si>
    <t>Welcome to this interactive Excel tool designed to enable the user to see their environmental impacts upon choosing either film or digital mediums. This first sheet displays the total impacts of both film and digital, in terms of energy, water use, CO2 emissions, and hazardous waste. The remaining sheets contain the specifics and research that went into the total value shown on the first sheet. The information shown will be based on the number of hours of content which can be determined by the user, as shown on the right.</t>
  </si>
  <si>
    <t>Heidi Kindberg - Director Of Sustainability, HBO/HBOMax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</si>
</sst>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000"/>
    <numFmt numFmtId="166" formatCode="0.0000"/>
    <numFmt numFmtId="167" formatCode="#,##0.00000"/>
    <numFmt numFmtId="168" formatCode="#,##0.000000"/>
  </numFmts>
  <fonts count="35">
    <font>
      <sz val="12"/>
      <color theme="1"/>
      <name val="Calibri"/>
      <family val="2"/>
      <scheme val="minor"/>
    </font>
    <font>
      <sz val="11"/>
      <color theme="1"/>
      <name val="Calibri"/>
      <family val="2"/>
      <scheme val="minor"/>
    </font>
    <font>
      <b/>
      <sz val="12"/>
      <color theme="1"/>
      <name val="Calibri"/>
      <family val="2"/>
      <scheme val="minor"/>
    </font>
    <font>
      <u/>
      <sz val="12"/>
      <color theme="1"/>
      <name val="Calibri"/>
      <family val="2"/>
      <scheme val="minor"/>
    </font>
    <font>
      <sz val="12"/>
      <color rgb="FF000000"/>
      <name val="Calibri"/>
      <family val="2"/>
      <scheme val="minor"/>
    </font>
    <font>
      <sz val="12"/>
      <color rgb="FF000000"/>
      <name val="Calibri"/>
      <family val="2"/>
    </font>
    <font>
      <u/>
      <sz val="12"/>
      <color theme="10"/>
      <name val="Calibri"/>
      <family val="2"/>
      <scheme val="minor"/>
    </font>
    <font>
      <sz val="12"/>
      <color rgb="FF000000"/>
      <name val="Calibri"/>
      <family val="2"/>
      <charset val="1"/>
    </font>
    <font>
      <sz val="12"/>
      <color rgb="FF222222"/>
      <name val="Calibri"/>
      <family val="2"/>
    </font>
    <font>
      <b/>
      <sz val="12"/>
      <color rgb="FFAEAAAA"/>
      <name val="Calibri"/>
      <family val="2"/>
      <scheme val="minor"/>
    </font>
    <font>
      <b/>
      <sz val="12"/>
      <color rgb="FFAEAAAA"/>
      <name val="Calibri"/>
      <family val="2"/>
    </font>
    <font>
      <b/>
      <sz val="12"/>
      <color rgb="FF000000"/>
      <name val="Calibri"/>
      <family val="2"/>
    </font>
    <font>
      <b/>
      <u/>
      <sz val="12"/>
      <color theme="1"/>
      <name val="Calibri"/>
      <family val="2"/>
      <scheme val="minor"/>
    </font>
    <font>
      <b/>
      <sz val="12"/>
      <color rgb="FF000000"/>
      <name val="Calibri"/>
      <family val="2"/>
      <scheme val="minor"/>
    </font>
    <font>
      <sz val="12"/>
      <color theme="10"/>
      <name val="Calibri"/>
      <family val="2"/>
      <scheme val="minor"/>
    </font>
    <font>
      <sz val="12"/>
      <color rgb="FF000000"/>
      <name val="Calibri"/>
      <family val="2"/>
    </font>
    <font>
      <sz val="11"/>
      <color rgb="FF000000"/>
      <name val="Calibri"/>
      <family val="2"/>
      <charset val="1"/>
    </font>
    <font>
      <sz val="12"/>
      <color rgb="FF000000"/>
      <name val="Calibri"/>
      <family val="2"/>
    </font>
    <font>
      <sz val="11"/>
      <color rgb="FF333333"/>
      <name val="Helvetica Neue"/>
      <charset val="1"/>
    </font>
    <font>
      <sz val="11"/>
      <color rgb="FF333333"/>
      <name val="Calibri"/>
      <family val="2"/>
    </font>
    <font>
      <sz val="12"/>
      <color rgb="FFFF0000"/>
      <name val="Calibri"/>
      <family val="2"/>
      <scheme val="minor"/>
    </font>
    <font>
      <sz val="12"/>
      <color rgb="FFFFFFFF"/>
      <name val="Calibri"/>
      <family val="2"/>
      <scheme val="minor"/>
    </font>
    <font>
      <u/>
      <sz val="12"/>
      <color rgb="FFFFFFFF"/>
      <name val="Calibri"/>
      <family val="2"/>
      <scheme val="minor"/>
    </font>
    <font>
      <b/>
      <sz val="12"/>
      <color rgb="FFFFFFFF"/>
      <name val="Calibri"/>
      <family val="2"/>
      <scheme val="minor"/>
    </font>
    <font>
      <b/>
      <u/>
      <sz val="12"/>
      <color rgb="FF000000"/>
      <name val="Calibri"/>
      <family val="2"/>
    </font>
    <font>
      <sz val="11"/>
      <color theme="1"/>
      <name val="Calibri"/>
      <family val="2"/>
      <scheme val="minor"/>
    </font>
    <font>
      <sz val="12"/>
      <color theme="10"/>
      <name val="Calibri"/>
      <family val="2"/>
    </font>
    <font>
      <sz val="12"/>
      <color rgb="FFFFFFFF"/>
      <name val="Calibri"/>
      <family val="2"/>
    </font>
    <font>
      <sz val="12"/>
      <color theme="1"/>
      <name val="Calibri"/>
      <family val="2"/>
    </font>
    <font>
      <u/>
      <sz val="12"/>
      <color theme="10"/>
      <name val="Calibri"/>
      <family val="2"/>
    </font>
    <font>
      <u/>
      <sz val="12"/>
      <color rgb="FF000000"/>
      <name val="Calibri"/>
      <family val="2"/>
    </font>
    <font>
      <b/>
      <u/>
      <sz val="12"/>
      <color theme="1"/>
      <name val="Calibri"/>
      <family val="2"/>
    </font>
    <font>
      <b/>
      <sz val="12"/>
      <color theme="1"/>
      <name val="Calibri"/>
      <family val="2"/>
    </font>
    <font>
      <u/>
      <sz val="12"/>
      <color theme="1"/>
      <name val="Calibri"/>
      <family val="2"/>
    </font>
    <font>
      <b/>
      <u/>
      <sz val="12"/>
      <color rgb="FF000000"/>
      <name val="Calibri"/>
      <family val="2"/>
      <scheme val="minor"/>
    </font>
  </fonts>
  <fills count="10">
    <fill>
      <patternFill patternType="none"/>
    </fill>
    <fill>
      <patternFill patternType="gray125"/>
    </fill>
    <fill>
      <patternFill patternType="solid">
        <fgColor rgb="FFDDEBF7"/>
        <bgColor indexed="64"/>
      </patternFill>
    </fill>
    <fill>
      <patternFill patternType="solid">
        <fgColor rgb="FFE2EFDA"/>
        <bgColor indexed="64"/>
      </patternFill>
    </fill>
    <fill>
      <patternFill patternType="solid">
        <fgColor rgb="FFFCE4D6"/>
        <bgColor indexed="64"/>
      </patternFill>
    </fill>
    <fill>
      <patternFill patternType="solid">
        <fgColor rgb="FFFFF2CC"/>
        <bgColor indexed="64"/>
      </patternFill>
    </fill>
    <fill>
      <patternFill patternType="solid">
        <fgColor rgb="FFF8CBAD"/>
        <bgColor indexed="64"/>
      </patternFill>
    </fill>
    <fill>
      <patternFill patternType="solid">
        <fgColor rgb="FFE7E6E6"/>
        <bgColor indexed="64"/>
      </patternFill>
    </fill>
    <fill>
      <patternFill patternType="solid">
        <fgColor rgb="FFEDEDED"/>
        <bgColor indexed="64"/>
      </patternFill>
    </fill>
    <fill>
      <patternFill patternType="solid">
        <fgColor theme="0"/>
        <bgColor indexed="64"/>
      </patternFill>
    </fill>
  </fills>
  <borders count="43">
    <border>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style="double">
        <color rgb="FF000000"/>
      </right>
      <top/>
      <bottom style="double">
        <color rgb="FF000000"/>
      </bottom>
      <diagonal/>
    </border>
    <border>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right/>
      <top style="thick">
        <color rgb="FF000000"/>
      </top>
      <bottom style="medium">
        <color rgb="FF000000"/>
      </bottom>
      <diagonal/>
    </border>
    <border>
      <left/>
      <right style="medium">
        <color rgb="FF000000"/>
      </right>
      <top/>
      <bottom style="thin">
        <color rgb="FF000000"/>
      </bottom>
      <diagonal/>
    </border>
    <border>
      <left style="medium">
        <color rgb="FF000000"/>
      </left>
      <right/>
      <top style="thick">
        <color rgb="FF000000"/>
      </top>
      <bottom style="medium">
        <color rgb="FF000000"/>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double">
        <color rgb="FF000000"/>
      </left>
      <right/>
      <top style="thick">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ck">
        <color rgb="FF000000"/>
      </top>
      <bottom style="medium">
        <color rgb="FF000000"/>
      </bottom>
      <diagonal/>
    </border>
    <border>
      <left style="thin">
        <color rgb="FF000000"/>
      </left>
      <right style="medium">
        <color rgb="FF000000"/>
      </right>
      <top style="thick">
        <color rgb="FF000000"/>
      </top>
      <bottom style="medium">
        <color rgb="FF000000"/>
      </bottom>
      <diagonal/>
    </border>
    <border>
      <left/>
      <right/>
      <top style="thick">
        <color rgb="FF000000"/>
      </top>
      <bottom/>
      <diagonal/>
    </border>
    <border>
      <left/>
      <right style="double">
        <color rgb="FF000000"/>
      </right>
      <top style="thick">
        <color rgb="FF000000"/>
      </top>
      <bottom/>
      <diagonal/>
    </border>
    <border>
      <left/>
      <right style="double">
        <color rgb="FF000000"/>
      </right>
      <top style="double">
        <color rgb="FF000000"/>
      </top>
      <bottom style="double">
        <color rgb="FF000000"/>
      </bottom>
      <diagonal/>
    </border>
    <border>
      <left/>
      <right style="medium">
        <color rgb="FF000000"/>
      </right>
      <top style="medium">
        <color rgb="FF000000"/>
      </top>
      <bottom style="thin">
        <color rgb="FF000000"/>
      </bottom>
      <diagonal/>
    </border>
    <border>
      <left style="medium">
        <color rgb="FF000000"/>
      </left>
      <right/>
      <top/>
      <bottom style="thin">
        <color rgb="FF000000"/>
      </bottom>
      <diagonal/>
    </border>
    <border>
      <left style="thin">
        <color rgb="FF000000"/>
      </left>
      <right style="medium">
        <color rgb="FF000000"/>
      </right>
      <top/>
      <bottom/>
      <diagonal/>
    </border>
    <border>
      <left style="thin">
        <color rgb="FF000000"/>
      </left>
      <right/>
      <top/>
      <bottom/>
      <diagonal/>
    </border>
    <border>
      <left style="thin">
        <color rgb="FF000000"/>
      </left>
      <right/>
      <top style="thick">
        <color rgb="FF000000"/>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s>
  <cellStyleXfs count="2">
    <xf numFmtId="0" fontId="0" fillId="0" borderId="0"/>
    <xf numFmtId="0" fontId="6" fillId="0" borderId="0" applyNumberFormat="0" applyFill="0" applyBorder="0" applyAlignment="0" applyProtection="0"/>
  </cellStyleXfs>
  <cellXfs count="295">
    <xf numFmtId="0" fontId="0" fillId="0" borderId="0" xfId="0"/>
    <xf numFmtId="0" fontId="2" fillId="0" borderId="0" xfId="0" applyFont="1"/>
    <xf numFmtId="0" fontId="0" fillId="0" borderId="0" xfId="0" applyBorder="1"/>
    <xf numFmtId="0" fontId="0" fillId="0" borderId="0" xfId="0" applyFont="1"/>
    <xf numFmtId="0" fontId="0" fillId="0" borderId="0" xfId="0" applyFill="1"/>
    <xf numFmtId="0" fontId="6" fillId="0" borderId="0" xfId="1"/>
    <xf numFmtId="0" fontId="9" fillId="0" borderId="0" xfId="0" applyFont="1"/>
    <xf numFmtId="0" fontId="10" fillId="0" borderId="0" xfId="0" applyFont="1" applyBorder="1" applyAlignment="1">
      <alignment wrapText="1"/>
    </xf>
    <xf numFmtId="0" fontId="12" fillId="0" borderId="0" xfId="0" applyFont="1"/>
    <xf numFmtId="0" fontId="0" fillId="0" borderId="0" xfId="0" applyFont="1" applyFill="1"/>
    <xf numFmtId="0" fontId="0" fillId="0" borderId="0" xfId="0" applyFont="1" applyBorder="1"/>
    <xf numFmtId="0" fontId="0" fillId="0" borderId="0" xfId="0" applyFont="1" applyFill="1" applyBorder="1"/>
    <xf numFmtId="0" fontId="6" fillId="0" borderId="0" xfId="1" applyBorder="1" applyAlignment="1"/>
    <xf numFmtId="0" fontId="6" fillId="0" borderId="0" xfId="1" applyBorder="1"/>
    <xf numFmtId="0" fontId="0" fillId="3" borderId="0" xfId="0" applyFill="1" applyBorder="1"/>
    <xf numFmtId="0" fontId="2" fillId="0" borderId="0" xfId="0" applyFont="1" applyBorder="1"/>
    <xf numFmtId="0" fontId="3" fillId="0" borderId="0" xfId="0" applyFont="1" applyBorder="1"/>
    <xf numFmtId="0" fontId="2" fillId="0" borderId="9" xfId="0" applyFont="1" applyBorder="1"/>
    <xf numFmtId="0" fontId="0" fillId="0" borderId="10" xfId="0" applyFont="1" applyBorder="1"/>
    <xf numFmtId="0" fontId="0" fillId="0" borderId="11" xfId="0" applyBorder="1"/>
    <xf numFmtId="0" fontId="6" fillId="0" borderId="12" xfId="1" applyBorder="1"/>
    <xf numFmtId="0" fontId="3" fillId="0" borderId="13" xfId="0" applyFont="1" applyBorder="1"/>
    <xf numFmtId="0" fontId="6" fillId="0" borderId="14" xfId="1" applyBorder="1"/>
    <xf numFmtId="0" fontId="12" fillId="0" borderId="13" xfId="0" applyFont="1" applyBorder="1"/>
    <xf numFmtId="0" fontId="0" fillId="0" borderId="12" xfId="0" applyBorder="1"/>
    <xf numFmtId="0" fontId="0" fillId="0" borderId="13" xfId="0" applyFont="1" applyBorder="1"/>
    <xf numFmtId="0" fontId="0" fillId="0" borderId="14" xfId="0" applyBorder="1"/>
    <xf numFmtId="0" fontId="0" fillId="0" borderId="14" xfId="0" applyFont="1" applyBorder="1"/>
    <xf numFmtId="0" fontId="2" fillId="0" borderId="13" xfId="0" applyFont="1" applyBorder="1"/>
    <xf numFmtId="0" fontId="2" fillId="0" borderId="14" xfId="0" applyFont="1" applyBorder="1"/>
    <xf numFmtId="0" fontId="0" fillId="0" borderId="15" xfId="0" applyFont="1" applyBorder="1"/>
    <xf numFmtId="0" fontId="0" fillId="0" borderId="9" xfId="0" applyFont="1" applyBorder="1"/>
    <xf numFmtId="0" fontId="0" fillId="0" borderId="16" xfId="0" applyFont="1" applyBorder="1"/>
    <xf numFmtId="0" fontId="0" fillId="0" borderId="11" xfId="0" applyFont="1" applyBorder="1"/>
    <xf numFmtId="0" fontId="0" fillId="0" borderId="12" xfId="0" applyFont="1" applyBorder="1"/>
    <xf numFmtId="0" fontId="4" fillId="0" borderId="0" xfId="0" applyFont="1" applyBorder="1"/>
    <xf numFmtId="0" fontId="2" fillId="0" borderId="0" xfId="0" applyFont="1" applyFill="1" applyBorder="1"/>
    <xf numFmtId="0" fontId="0" fillId="0" borderId="9" xfId="0" applyFont="1" applyFill="1" applyBorder="1"/>
    <xf numFmtId="0" fontId="0" fillId="0" borderId="11" xfId="0" applyFont="1" applyFill="1" applyBorder="1"/>
    <xf numFmtId="0" fontId="0" fillId="0" borderId="15" xfId="0" applyBorder="1"/>
    <xf numFmtId="0" fontId="0" fillId="0" borderId="9" xfId="0" applyBorder="1"/>
    <xf numFmtId="0" fontId="0" fillId="0" borderId="13" xfId="0" applyBorder="1"/>
    <xf numFmtId="0" fontId="0" fillId="0" borderId="0" xfId="0" applyBorder="1" applyAlignment="1">
      <alignment wrapText="1"/>
    </xf>
    <xf numFmtId="0" fontId="6" fillId="0" borderId="0" xfId="1" applyBorder="1" applyAlignment="1">
      <alignment horizontal="center"/>
    </xf>
    <xf numFmtId="0" fontId="6" fillId="0" borderId="14" xfId="1" applyBorder="1" applyAlignment="1">
      <alignment horizontal="center"/>
    </xf>
    <xf numFmtId="0" fontId="3" fillId="0" borderId="10" xfId="0" applyFont="1" applyBorder="1"/>
    <xf numFmtId="0" fontId="4" fillId="0" borderId="0" xfId="0" applyFont="1" applyFill="1" applyBorder="1"/>
    <xf numFmtId="0" fontId="4" fillId="3" borderId="0" xfId="0" applyFont="1" applyFill="1" applyBorder="1"/>
    <xf numFmtId="0" fontId="5" fillId="0" borderId="0" xfId="0" applyFont="1" applyBorder="1" applyAlignment="1">
      <alignment wrapText="1"/>
    </xf>
    <xf numFmtId="49" fontId="4" fillId="3" borderId="0" xfId="0" applyNumberFormat="1" applyFont="1" applyFill="1" applyBorder="1"/>
    <xf numFmtId="49" fontId="4" fillId="0" borderId="0" xfId="0" applyNumberFormat="1" applyFont="1" applyFill="1" applyBorder="1"/>
    <xf numFmtId="0" fontId="4" fillId="4" borderId="0" xfId="0" applyFont="1" applyFill="1" applyBorder="1"/>
    <xf numFmtId="0" fontId="2" fillId="0" borderId="11" xfId="0" applyFont="1" applyBorder="1"/>
    <xf numFmtId="0" fontId="14" fillId="0" borderId="14" xfId="1" applyFont="1" applyBorder="1"/>
    <xf numFmtId="0" fontId="0" fillId="0" borderId="0" xfId="0" applyFill="1" applyBorder="1"/>
    <xf numFmtId="0" fontId="0" fillId="6" borderId="0" xfId="0" applyFill="1" applyBorder="1"/>
    <xf numFmtId="0" fontId="0" fillId="6" borderId="0" xfId="0" applyFont="1" applyFill="1" applyBorder="1"/>
    <xf numFmtId="0" fontId="6" fillId="6" borderId="0" xfId="1" applyFill="1" applyBorder="1" applyAlignment="1">
      <alignment horizontal="center"/>
    </xf>
    <xf numFmtId="0" fontId="4" fillId="6" borderId="0" xfId="1" applyFont="1" applyFill="1" applyBorder="1" applyAlignment="1">
      <alignment horizontal="center"/>
    </xf>
    <xf numFmtId="0" fontId="2" fillId="6" borderId="0" xfId="0" applyFont="1" applyFill="1" applyBorder="1"/>
    <xf numFmtId="0" fontId="14" fillId="0" borderId="0" xfId="1" applyFont="1" applyBorder="1" applyAlignment="1">
      <alignment horizontal="center"/>
    </xf>
    <xf numFmtId="0" fontId="4" fillId="0" borderId="0" xfId="1" applyFont="1" applyBorder="1" applyAlignment="1">
      <alignment horizontal="center"/>
    </xf>
    <xf numFmtId="2" fontId="0" fillId="5" borderId="0" xfId="0" applyNumberFormat="1" applyFill="1" applyBorder="1"/>
    <xf numFmtId="0" fontId="6" fillId="0" borderId="0" xfId="1" applyFill="1"/>
    <xf numFmtId="0" fontId="2" fillId="0" borderId="0" xfId="0" applyFont="1" applyFill="1"/>
    <xf numFmtId="0" fontId="8" fillId="0" borderId="0" xfId="0" applyFont="1" applyFill="1" applyBorder="1" applyAlignment="1">
      <alignment wrapText="1"/>
    </xf>
    <xf numFmtId="0" fontId="3" fillId="0" borderId="15" xfId="0" applyFont="1" applyBorder="1"/>
    <xf numFmtId="0" fontId="2" fillId="0" borderId="15" xfId="0" applyFont="1" applyBorder="1"/>
    <xf numFmtId="0" fontId="0" fillId="0" borderId="0" xfId="0" applyFill="1" applyBorder="1" applyAlignment="1"/>
    <xf numFmtId="0" fontId="11" fillId="0" borderId="0" xfId="0" applyFont="1" applyFill="1" applyBorder="1" applyAlignment="1">
      <alignment wrapText="1"/>
    </xf>
    <xf numFmtId="0" fontId="2" fillId="0" borderId="9" xfId="0" applyFont="1" applyFill="1" applyBorder="1"/>
    <xf numFmtId="0" fontId="6" fillId="0" borderId="14" xfId="1" applyFill="1" applyBorder="1"/>
    <xf numFmtId="0" fontId="3" fillId="0" borderId="13" xfId="0" applyFont="1" applyFill="1" applyBorder="1"/>
    <xf numFmtId="2" fontId="0" fillId="0" borderId="0" xfId="0" applyNumberFormat="1" applyFill="1" applyBorder="1"/>
    <xf numFmtId="2" fontId="4" fillId="0" borderId="0" xfId="0" applyNumberFormat="1" applyFont="1" applyFill="1" applyBorder="1"/>
    <xf numFmtId="0" fontId="2" fillId="0" borderId="13" xfId="0" applyFont="1" applyBorder="1" applyAlignment="1">
      <alignment wrapText="1"/>
    </xf>
    <xf numFmtId="0" fontId="2" fillId="0" borderId="12" xfId="0" applyFont="1" applyBorder="1"/>
    <xf numFmtId="2" fontId="0" fillId="0" borderId="0" xfId="0" applyNumberFormat="1"/>
    <xf numFmtId="0" fontId="0" fillId="0" borderId="0" xfId="0" applyNumberFormat="1" applyBorder="1"/>
    <xf numFmtId="0" fontId="2" fillId="0" borderId="18" xfId="0" applyFont="1" applyBorder="1" applyAlignment="1">
      <alignment horizontal="center"/>
    </xf>
    <xf numFmtId="0" fontId="6" fillId="0" borderId="0" xfId="1" quotePrefix="1" applyBorder="1" applyAlignment="1">
      <alignment horizontal="left"/>
    </xf>
    <xf numFmtId="0" fontId="16" fillId="0" borderId="0" xfId="0" applyFont="1" applyBorder="1" applyAlignment="1"/>
    <xf numFmtId="0" fontId="19" fillId="0" borderId="0" xfId="0" applyFont="1" applyFill="1" applyBorder="1" applyAlignment="1">
      <alignment wrapText="1"/>
    </xf>
    <xf numFmtId="10" fontId="19" fillId="0" borderId="0" xfId="0" applyNumberFormat="1" applyFont="1" applyFill="1" applyBorder="1" applyAlignment="1">
      <alignment wrapText="1"/>
    </xf>
    <xf numFmtId="17" fontId="18" fillId="0" borderId="0" xfId="0" applyNumberFormat="1" applyFont="1" applyFill="1" applyBorder="1" applyAlignment="1">
      <alignment wrapText="1"/>
    </xf>
    <xf numFmtId="0" fontId="18" fillId="0" borderId="0" xfId="0" applyFont="1" applyFill="1" applyBorder="1" applyAlignment="1">
      <alignment wrapText="1"/>
    </xf>
    <xf numFmtId="10" fontId="18" fillId="0" borderId="0" xfId="0" applyNumberFormat="1" applyFont="1" applyFill="1" applyBorder="1" applyAlignment="1">
      <alignment wrapText="1"/>
    </xf>
    <xf numFmtId="0" fontId="0" fillId="0" borderId="10" xfId="0" applyBorder="1"/>
    <xf numFmtId="17" fontId="19" fillId="0" borderId="13" xfId="0" applyNumberFormat="1" applyFont="1" applyFill="1" applyBorder="1" applyAlignment="1">
      <alignment wrapText="1"/>
    </xf>
    <xf numFmtId="0" fontId="2" fillId="0" borderId="13" xfId="0" applyFont="1" applyBorder="1" applyAlignment="1">
      <alignment horizontal="right"/>
    </xf>
    <xf numFmtId="0" fontId="2" fillId="0" borderId="15" xfId="0" applyFont="1" applyBorder="1" applyAlignment="1">
      <alignment horizontal="right"/>
    </xf>
    <xf numFmtId="0" fontId="20" fillId="0" borderId="0" xfId="0" applyFont="1" applyFill="1" applyBorder="1"/>
    <xf numFmtId="0" fontId="8" fillId="0" borderId="0" xfId="0" applyFont="1" applyBorder="1" applyAlignment="1">
      <alignment horizontal="left" vertical="top"/>
    </xf>
    <xf numFmtId="0" fontId="6" fillId="0" borderId="14" xfId="1" applyBorder="1" applyAlignment="1"/>
    <xf numFmtId="0" fontId="3" fillId="0" borderId="0" xfId="0" applyFont="1" applyAlignment="1"/>
    <xf numFmtId="0" fontId="0" fillId="0" borderId="13" xfId="0" applyFill="1" applyBorder="1"/>
    <xf numFmtId="0" fontId="12" fillId="0" borderId="0" xfId="0" applyFont="1" applyFill="1" applyBorder="1"/>
    <xf numFmtId="0" fontId="7" fillId="0" borderId="0" xfId="0" applyFont="1" applyBorder="1" applyAlignment="1"/>
    <xf numFmtId="0" fontId="5" fillId="0" borderId="0" xfId="0" applyFont="1" applyFill="1" applyBorder="1" applyAlignment="1">
      <alignment wrapText="1"/>
    </xf>
    <xf numFmtId="0" fontId="21" fillId="0" borderId="0" xfId="0" applyFont="1" applyBorder="1"/>
    <xf numFmtId="0" fontId="22" fillId="0" borderId="0" xfId="1" applyFont="1" applyBorder="1"/>
    <xf numFmtId="0" fontId="23" fillId="0" borderId="0" xfId="0" applyFont="1" applyBorder="1"/>
    <xf numFmtId="0" fontId="10" fillId="0" borderId="0" xfId="0" applyFont="1" applyFill="1" applyBorder="1" applyAlignment="1">
      <alignment wrapText="1"/>
    </xf>
    <xf numFmtId="0" fontId="17" fillId="0" borderId="0" xfId="0" applyFont="1" applyFill="1" applyBorder="1" applyAlignment="1">
      <alignment horizontal="right" wrapText="1"/>
    </xf>
    <xf numFmtId="0" fontId="0" fillId="0" borderId="0" xfId="0" applyFill="1" applyBorder="1" applyAlignment="1">
      <alignment wrapText="1"/>
    </xf>
    <xf numFmtId="166" fontId="0" fillId="0" borderId="0" xfId="0" applyNumberFormat="1" applyFont="1" applyFill="1" applyBorder="1"/>
    <xf numFmtId="166" fontId="15" fillId="0" borderId="0" xfId="0" applyNumberFormat="1" applyFont="1" applyFill="1" applyBorder="1" applyAlignment="1">
      <alignment wrapText="1"/>
    </xf>
    <xf numFmtId="3" fontId="0" fillId="0" borderId="0" xfId="0" applyNumberFormat="1" applyFont="1" applyFill="1" applyBorder="1"/>
    <xf numFmtId="167" fontId="0" fillId="0" borderId="0" xfId="0" applyNumberFormat="1" applyFont="1" applyFill="1" applyBorder="1"/>
    <xf numFmtId="168" fontId="0" fillId="0" borderId="0" xfId="0" applyNumberFormat="1" applyFont="1" applyFill="1" applyBorder="1"/>
    <xf numFmtId="0" fontId="5" fillId="0" borderId="0" xfId="0" quotePrefix="1" applyFont="1" applyFill="1" applyBorder="1" applyAlignment="1">
      <alignment wrapText="1"/>
    </xf>
    <xf numFmtId="2" fontId="0" fillId="0" borderId="0" xfId="0" applyNumberFormat="1" applyFont="1" applyFill="1" applyBorder="1"/>
    <xf numFmtId="165" fontId="0" fillId="0" borderId="0" xfId="0" applyNumberFormat="1" applyFont="1" applyFill="1" applyBorder="1"/>
    <xf numFmtId="0" fontId="21" fillId="0" borderId="13" xfId="0" applyFont="1" applyBorder="1"/>
    <xf numFmtId="0" fontId="2" fillId="0" borderId="0" xfId="0" applyNumberFormat="1" applyFont="1" applyBorder="1"/>
    <xf numFmtId="0" fontId="2" fillId="0" borderId="0" xfId="0" applyNumberFormat="1" applyFont="1" applyFill="1" applyBorder="1"/>
    <xf numFmtId="0" fontId="23" fillId="0" borderId="0" xfId="0" applyFont="1" applyFill="1" applyBorder="1"/>
    <xf numFmtId="0" fontId="11" fillId="0" borderId="0" xfId="0" applyNumberFormat="1" applyFont="1" applyFill="1" applyBorder="1" applyAlignment="1">
      <alignment wrapText="1"/>
    </xf>
    <xf numFmtId="0" fontId="11" fillId="0" borderId="0" xfId="0" quotePrefix="1" applyFont="1" applyFill="1" applyBorder="1" applyAlignment="1">
      <alignment vertical="center" wrapText="1"/>
    </xf>
    <xf numFmtId="0" fontId="24" fillId="0" borderId="0" xfId="0" applyFont="1" applyFill="1" applyAlignment="1">
      <alignment wrapText="1"/>
    </xf>
    <xf numFmtId="0" fontId="0" fillId="0" borderId="11" xfId="0" applyFill="1" applyBorder="1"/>
    <xf numFmtId="0" fontId="0" fillId="0" borderId="9" xfId="0" applyBorder="1" applyAlignment="1">
      <alignment wrapText="1"/>
    </xf>
    <xf numFmtId="2" fontId="0" fillId="0" borderId="9" xfId="0" applyNumberFormat="1" applyFill="1" applyBorder="1"/>
    <xf numFmtId="0" fontId="11" fillId="0" borderId="9" xfId="0" applyFont="1" applyFill="1" applyBorder="1" applyAlignment="1">
      <alignment wrapText="1"/>
    </xf>
    <xf numFmtId="0" fontId="4" fillId="0" borderId="14" xfId="1" applyFont="1" applyFill="1" applyBorder="1" applyAlignment="1"/>
    <xf numFmtId="0" fontId="0" fillId="0" borderId="14" xfId="0" applyFont="1" applyFill="1" applyBorder="1"/>
    <xf numFmtId="0" fontId="2" fillId="0" borderId="14" xfId="0" applyFont="1" applyFill="1" applyBorder="1"/>
    <xf numFmtId="0" fontId="0" fillId="0" borderId="13" xfId="0" applyFont="1" applyFill="1" applyBorder="1"/>
    <xf numFmtId="0" fontId="2" fillId="0" borderId="13" xfId="0" applyFont="1" applyFill="1" applyBorder="1"/>
    <xf numFmtId="0" fontId="4" fillId="0" borderId="14" xfId="1" applyFont="1" applyBorder="1"/>
    <xf numFmtId="0" fontId="4" fillId="0" borderId="16" xfId="1" applyFont="1" applyBorder="1"/>
    <xf numFmtId="0" fontId="3" fillId="0" borderId="10" xfId="0" applyFont="1" applyFill="1" applyBorder="1" applyAlignment="1">
      <alignment wrapText="1"/>
    </xf>
    <xf numFmtId="0" fontId="4" fillId="0" borderId="14" xfId="1" applyFont="1" applyFill="1" applyBorder="1"/>
    <xf numFmtId="0" fontId="23" fillId="0" borderId="13" xfId="0" applyFont="1" applyBorder="1"/>
    <xf numFmtId="0" fontId="3" fillId="0" borderId="25" xfId="0" applyFont="1" applyBorder="1"/>
    <xf numFmtId="0" fontId="0" fillId="0" borderId="32" xfId="0" applyBorder="1"/>
    <xf numFmtId="0" fontId="0" fillId="0" borderId="32" xfId="0" applyFont="1" applyBorder="1"/>
    <xf numFmtId="2" fontId="0" fillId="0" borderId="32" xfId="0" applyNumberFormat="1" applyFont="1" applyFill="1" applyBorder="1"/>
    <xf numFmtId="0" fontId="0" fillId="0" borderId="33" xfId="0" applyFont="1" applyBorder="1"/>
    <xf numFmtId="0" fontId="12" fillId="0" borderId="2" xfId="0" applyFont="1" applyBorder="1"/>
    <xf numFmtId="0" fontId="12" fillId="0" borderId="2" xfId="0" applyFont="1" applyBorder="1" applyAlignment="1">
      <alignment horizontal="center"/>
    </xf>
    <xf numFmtId="0" fontId="6" fillId="0" borderId="0" xfId="1" applyFill="1" applyBorder="1" applyAlignment="1">
      <alignment horizontal="center"/>
    </xf>
    <xf numFmtId="0" fontId="4" fillId="0" borderId="0" xfId="1" applyFont="1" applyFill="1" applyBorder="1" applyAlignment="1">
      <alignment horizontal="center"/>
    </xf>
    <xf numFmtId="0" fontId="0" fillId="0" borderId="9" xfId="0" applyFill="1" applyBorder="1"/>
    <xf numFmtId="2" fontId="4" fillId="0" borderId="9" xfId="0" applyNumberFormat="1" applyFont="1" applyFill="1" applyBorder="1"/>
    <xf numFmtId="0" fontId="12" fillId="0" borderId="10" xfId="0" applyFont="1" applyBorder="1"/>
    <xf numFmtId="0" fontId="28" fillId="0" borderId="0" xfId="0" applyFont="1" applyFill="1" applyBorder="1"/>
    <xf numFmtId="0" fontId="17" fillId="0" borderId="0" xfId="0" applyFont="1" applyBorder="1" applyAlignment="1">
      <alignment wrapText="1"/>
    </xf>
    <xf numFmtId="0" fontId="17" fillId="0" borderId="0" xfId="0" applyFont="1" applyBorder="1" applyAlignment="1"/>
    <xf numFmtId="0" fontId="28" fillId="0" borderId="0" xfId="0" applyFont="1" applyBorder="1"/>
    <xf numFmtId="0" fontId="28" fillId="0" borderId="0" xfId="0" applyFont="1"/>
    <xf numFmtId="0" fontId="26" fillId="0" borderId="0" xfId="1" applyFont="1" applyBorder="1"/>
    <xf numFmtId="0" fontId="17" fillId="0" borderId="0" xfId="0" applyFont="1" applyBorder="1"/>
    <xf numFmtId="0" fontId="28" fillId="0" borderId="9" xfId="0" applyFont="1" applyBorder="1"/>
    <xf numFmtId="0" fontId="28" fillId="0" borderId="11" xfId="0" applyFont="1" applyBorder="1"/>
    <xf numFmtId="0" fontId="28" fillId="0" borderId="12" xfId="0" applyFont="1" applyBorder="1"/>
    <xf numFmtId="0" fontId="29" fillId="0" borderId="14" xfId="1" applyFont="1" applyBorder="1" applyAlignment="1">
      <alignment wrapText="1"/>
    </xf>
    <xf numFmtId="0" fontId="28" fillId="0" borderId="0" xfId="0" applyFont="1" applyBorder="1" applyAlignment="1">
      <alignment wrapText="1"/>
    </xf>
    <xf numFmtId="0" fontId="29" fillId="0" borderId="0" xfId="1" applyFont="1" applyBorder="1" applyAlignment="1">
      <alignment wrapText="1"/>
    </xf>
    <xf numFmtId="0" fontId="28" fillId="0" borderId="0" xfId="0" applyFont="1" applyBorder="1" applyAlignment="1">
      <alignment horizontal="left" vertical="center" wrapText="1"/>
    </xf>
    <xf numFmtId="0" fontId="17" fillId="0" borderId="14" xfId="0" quotePrefix="1" applyFont="1" applyBorder="1" applyAlignment="1">
      <alignment wrapText="1"/>
    </xf>
    <xf numFmtId="0" fontId="17" fillId="0" borderId="0" xfId="0" quotePrefix="1" applyFont="1" applyBorder="1" applyAlignment="1">
      <alignment wrapText="1"/>
    </xf>
    <xf numFmtId="0" fontId="29" fillId="0" borderId="14" xfId="1" quotePrefix="1" applyFont="1" applyBorder="1" applyAlignment="1">
      <alignment horizontal="left"/>
    </xf>
    <xf numFmtId="0" fontId="26" fillId="0" borderId="0" xfId="1" quotePrefix="1" applyFont="1" applyBorder="1" applyAlignment="1">
      <alignment horizontal="left"/>
    </xf>
    <xf numFmtId="0" fontId="28" fillId="0" borderId="14" xfId="0" applyFont="1" applyBorder="1"/>
    <xf numFmtId="0" fontId="29" fillId="0" borderId="0" xfId="1" quotePrefix="1" applyFont="1" applyBorder="1" applyAlignment="1">
      <alignment horizontal="left"/>
    </xf>
    <xf numFmtId="0" fontId="30" fillId="0" borderId="14" xfId="1" applyFont="1" applyFill="1" applyBorder="1" applyAlignment="1">
      <alignment horizontal="center"/>
    </xf>
    <xf numFmtId="0" fontId="28" fillId="0" borderId="9" xfId="0" applyFont="1" applyFill="1" applyBorder="1"/>
    <xf numFmtId="0" fontId="29" fillId="0" borderId="16" xfId="1" applyFont="1" applyFill="1" applyBorder="1" applyAlignment="1">
      <alignment horizontal="center"/>
    </xf>
    <xf numFmtId="0" fontId="31" fillId="0" borderId="10" xfId="0" applyFont="1" applyBorder="1" applyAlignment="1">
      <alignment wrapText="1"/>
    </xf>
    <xf numFmtId="0" fontId="32" fillId="0" borderId="11" xfId="0" applyFont="1" applyBorder="1"/>
    <xf numFmtId="0" fontId="17" fillId="0" borderId="11" xfId="0" applyFont="1" applyBorder="1" applyAlignment="1">
      <alignment wrapText="1"/>
    </xf>
    <xf numFmtId="0" fontId="28" fillId="0" borderId="11" xfId="0" applyNumberFormat="1" applyFont="1" applyFill="1" applyBorder="1" applyAlignment="1">
      <alignment wrapText="1"/>
    </xf>
    <xf numFmtId="0" fontId="31" fillId="0" borderId="13" xfId="0" applyFont="1" applyBorder="1" applyAlignment="1">
      <alignment wrapText="1"/>
    </xf>
    <xf numFmtId="0" fontId="28" fillId="0" borderId="0" xfId="0" applyNumberFormat="1" applyFont="1" applyFill="1" applyBorder="1"/>
    <xf numFmtId="0" fontId="28" fillId="0" borderId="13" xfId="0" applyFont="1" applyBorder="1"/>
    <xf numFmtId="0" fontId="32" fillId="0" borderId="22" xfId="0" applyFont="1" applyBorder="1"/>
    <xf numFmtId="0" fontId="17" fillId="0" borderId="22" xfId="0" applyFont="1" applyBorder="1" applyAlignment="1">
      <alignment wrapText="1"/>
    </xf>
    <xf numFmtId="0" fontId="17" fillId="0" borderId="22" xfId="0" applyFont="1" applyFill="1" applyBorder="1" applyAlignment="1">
      <alignment horizontal="right" wrapText="1"/>
    </xf>
    <xf numFmtId="0" fontId="32" fillId="0" borderId="0" xfId="0" applyFont="1" applyBorder="1"/>
    <xf numFmtId="0" fontId="17" fillId="0" borderId="0" xfId="0" applyNumberFormat="1" applyFont="1" applyFill="1" applyBorder="1" applyAlignment="1">
      <alignment wrapText="1"/>
    </xf>
    <xf numFmtId="0" fontId="28" fillId="0" borderId="22" xfId="0" applyFont="1" applyBorder="1"/>
    <xf numFmtId="0" fontId="28" fillId="0" borderId="22" xfId="0" applyNumberFormat="1" applyFont="1" applyFill="1" applyBorder="1"/>
    <xf numFmtId="0" fontId="17" fillId="0" borderId="0" xfId="0" applyFont="1" applyFill="1" applyBorder="1" applyAlignment="1"/>
    <xf numFmtId="164" fontId="28" fillId="0" borderId="0" xfId="0" applyNumberFormat="1" applyFont="1" applyFill="1" applyBorder="1"/>
    <xf numFmtId="1" fontId="28" fillId="0" borderId="0" xfId="0" applyNumberFormat="1" applyFont="1" applyFill="1" applyBorder="1"/>
    <xf numFmtId="0" fontId="31" fillId="0" borderId="0" xfId="0" applyFont="1" applyFill="1" applyBorder="1"/>
    <xf numFmtId="0" fontId="32" fillId="0" borderId="0" xfId="0" applyFont="1" applyFill="1" applyBorder="1"/>
    <xf numFmtId="0" fontId="28" fillId="0" borderId="15" xfId="0" applyFont="1" applyBorder="1"/>
    <xf numFmtId="0" fontId="32" fillId="0" borderId="9" xfId="0" applyFont="1" applyFill="1" applyBorder="1"/>
    <xf numFmtId="0" fontId="31" fillId="0" borderId="10" xfId="0" applyFont="1" applyBorder="1"/>
    <xf numFmtId="0" fontId="32" fillId="0" borderId="11" xfId="0" applyFont="1" applyFill="1" applyBorder="1"/>
    <xf numFmtId="0" fontId="28" fillId="0" borderId="11" xfId="0" applyFont="1" applyFill="1" applyBorder="1"/>
    <xf numFmtId="0" fontId="33" fillId="0" borderId="13" xfId="0" applyFont="1" applyBorder="1"/>
    <xf numFmtId="0" fontId="17" fillId="0" borderId="0" xfId="0" applyFont="1" applyFill="1" applyBorder="1"/>
    <xf numFmtId="2" fontId="17" fillId="0" borderId="0" xfId="0" applyNumberFormat="1" applyFont="1" applyFill="1" applyBorder="1"/>
    <xf numFmtId="1" fontId="17" fillId="0" borderId="0" xfId="0" applyNumberFormat="1" applyFont="1" applyFill="1" applyBorder="1"/>
    <xf numFmtId="0" fontId="28" fillId="0" borderId="15" xfId="0" applyFont="1" applyFill="1" applyBorder="1"/>
    <xf numFmtId="2" fontId="17" fillId="0" borderId="9" xfId="0" applyNumberFormat="1" applyFont="1" applyFill="1" applyBorder="1"/>
    <xf numFmtId="0" fontId="4" fillId="0" borderId="14" xfId="1" applyFont="1" applyBorder="1" applyAlignment="1"/>
    <xf numFmtId="0" fontId="6" fillId="0" borderId="16" xfId="1" applyFill="1" applyBorder="1" applyAlignment="1"/>
    <xf numFmtId="0" fontId="14" fillId="0" borderId="12" xfId="1" applyFont="1" applyBorder="1"/>
    <xf numFmtId="0" fontId="14" fillId="0" borderId="14" xfId="1" applyFont="1" applyFill="1" applyBorder="1" applyAlignment="1"/>
    <xf numFmtId="0" fontId="0" fillId="0" borderId="0" xfId="0" applyFont="1" applyBorder="1" applyAlignment="1">
      <alignment horizontal="left"/>
    </xf>
    <xf numFmtId="0" fontId="0" fillId="0" borderId="0" xfId="0" applyNumberFormat="1" applyFont="1" applyFill="1" applyBorder="1"/>
    <xf numFmtId="0" fontId="7" fillId="0" borderId="0" xfId="0" applyFont="1" applyFill="1" applyBorder="1" applyAlignment="1">
      <alignment wrapText="1"/>
    </xf>
    <xf numFmtId="0" fontId="7" fillId="0" borderId="0" xfId="0" applyNumberFormat="1" applyFont="1" applyFill="1" applyBorder="1" applyAlignment="1">
      <alignment wrapText="1"/>
    </xf>
    <xf numFmtId="0" fontId="2" fillId="0" borderId="14" xfId="0" applyFont="1" applyBorder="1" applyAlignment="1">
      <alignment wrapText="1"/>
    </xf>
    <xf numFmtId="0" fontId="0" fillId="0" borderId="14" xfId="0" applyFont="1" applyBorder="1" applyAlignment="1">
      <alignment wrapText="1"/>
    </xf>
    <xf numFmtId="0" fontId="5" fillId="0" borderId="14" xfId="0" applyFont="1" applyFill="1" applyBorder="1" applyAlignment="1"/>
    <xf numFmtId="0" fontId="5" fillId="0" borderId="14" xfId="0" applyFont="1" applyBorder="1" applyAlignment="1"/>
    <xf numFmtId="0" fontId="8" fillId="0" borderId="0" xfId="0" applyFont="1" applyFill="1" applyBorder="1" applyAlignment="1"/>
    <xf numFmtId="0" fontId="27" fillId="0" borderId="0" xfId="0" applyFont="1" applyBorder="1"/>
    <xf numFmtId="0" fontId="34" fillId="0" borderId="0" xfId="0" applyFont="1"/>
    <xf numFmtId="0" fontId="0" fillId="0" borderId="14" xfId="0" applyBorder="1" applyAlignment="1">
      <alignment horizontal="left"/>
    </xf>
    <xf numFmtId="0" fontId="7" fillId="0" borderId="0" xfId="0" applyFont="1" applyBorder="1" applyAlignment="1">
      <alignment horizontal="left" wrapText="1"/>
    </xf>
    <xf numFmtId="0" fontId="7" fillId="0" borderId="9" xfId="0" applyFont="1" applyBorder="1" applyAlignment="1">
      <alignment horizontal="left" wrapText="1"/>
    </xf>
    <xf numFmtId="0" fontId="6" fillId="0" borderId="13" xfId="1" applyBorder="1" applyAlignment="1">
      <alignment horizontal="center"/>
    </xf>
    <xf numFmtId="0" fontId="6" fillId="0" borderId="10" xfId="1" applyBorder="1" applyAlignment="1">
      <alignment horizontal="center"/>
    </xf>
    <xf numFmtId="0" fontId="16" fillId="0" borderId="10" xfId="0" applyFont="1" applyBorder="1" applyAlignment="1">
      <alignment wrapText="1"/>
    </xf>
    <xf numFmtId="0" fontId="27" fillId="0" borderId="13" xfId="0" applyFont="1" applyBorder="1"/>
    <xf numFmtId="0" fontId="27" fillId="0" borderId="10" xfId="0" applyFont="1" applyBorder="1"/>
    <xf numFmtId="0" fontId="6" fillId="0" borderId="11" xfId="1" applyBorder="1" applyAlignment="1"/>
    <xf numFmtId="0" fontId="4" fillId="0" borderId="12" xfId="1" applyFont="1" applyBorder="1"/>
    <xf numFmtId="0" fontId="28" fillId="0" borderId="0" xfId="0" applyFont="1" applyAlignment="1"/>
    <xf numFmtId="0" fontId="14" fillId="0" borderId="0" xfId="1" applyFont="1" applyAlignment="1">
      <alignment wrapText="1"/>
    </xf>
    <xf numFmtId="0" fontId="14" fillId="0" borderId="0" xfId="1" applyFont="1" applyAlignment="1">
      <alignment wrapText="1" readingOrder="1"/>
    </xf>
    <xf numFmtId="0" fontId="14" fillId="0" borderId="0" xfId="1" quotePrefix="1" applyFont="1" applyAlignment="1">
      <alignment wrapText="1" readingOrder="1"/>
    </xf>
    <xf numFmtId="0" fontId="6" fillId="0" borderId="34" xfId="1" applyBorder="1"/>
    <xf numFmtId="0" fontId="6" fillId="0" borderId="0" xfId="1" applyBorder="1" applyAlignment="1">
      <alignment horizontal="left" wrapText="1"/>
    </xf>
    <xf numFmtId="0" fontId="6" fillId="0" borderId="14" xfId="1" quotePrefix="1" applyBorder="1" applyAlignment="1">
      <alignment horizontal="left"/>
    </xf>
    <xf numFmtId="0" fontId="6" fillId="0" borderId="12" xfId="1" applyFill="1" applyBorder="1"/>
    <xf numFmtId="0" fontId="6" fillId="0" borderId="14" xfId="1" applyFill="1" applyBorder="1" applyAlignment="1"/>
    <xf numFmtId="0" fontId="6" fillId="0" borderId="0" xfId="1" applyBorder="1" applyAlignment="1">
      <alignment vertical="top" wrapText="1"/>
    </xf>
    <xf numFmtId="0" fontId="6" fillId="0" borderId="14" xfId="1" applyBorder="1" applyAlignment="1">
      <alignment vertical="top" wrapText="1"/>
    </xf>
    <xf numFmtId="0" fontId="6" fillId="0" borderId="9" xfId="1" applyBorder="1"/>
    <xf numFmtId="0" fontId="6" fillId="0" borderId="0" xfId="1" applyAlignment="1">
      <alignment wrapText="1" readingOrder="1"/>
    </xf>
    <xf numFmtId="0" fontId="6" fillId="0" borderId="12" xfId="1" applyBorder="1" applyAlignment="1">
      <alignment horizontal="left"/>
    </xf>
    <xf numFmtId="0" fontId="0" fillId="0" borderId="0" xfId="0" applyBorder="1" applyAlignment="1"/>
    <xf numFmtId="0" fontId="0" fillId="0" borderId="0" xfId="0" applyBorder="1" applyAlignment="1">
      <alignment horizontal="center"/>
    </xf>
    <xf numFmtId="0" fontId="0" fillId="9" borderId="0" xfId="0" applyFill="1" applyBorder="1" applyProtection="1"/>
    <xf numFmtId="0" fontId="0" fillId="0" borderId="0" xfId="0" applyAlignment="1" applyProtection="1"/>
    <xf numFmtId="0" fontId="0" fillId="0" borderId="5" xfId="0" applyBorder="1" applyProtection="1"/>
    <xf numFmtId="0" fontId="0" fillId="0" borderId="0" xfId="0" applyProtection="1"/>
    <xf numFmtId="0" fontId="12" fillId="0" borderId="7" xfId="0" applyFont="1" applyBorder="1" applyProtection="1"/>
    <xf numFmtId="0" fontId="0" fillId="0" borderId="27" xfId="0" applyBorder="1" applyAlignment="1" applyProtection="1">
      <alignment horizontal="center"/>
    </xf>
    <xf numFmtId="0" fontId="0" fillId="0" borderId="3" xfId="0" applyBorder="1" applyAlignment="1" applyProtection="1">
      <alignment horizontal="center"/>
    </xf>
    <xf numFmtId="0" fontId="0" fillId="0" borderId="2" xfId="0" applyBorder="1" applyAlignment="1" applyProtection="1">
      <alignment horizontal="center"/>
    </xf>
    <xf numFmtId="0" fontId="0" fillId="0" borderId="20" xfId="0" applyBorder="1" applyAlignment="1" applyProtection="1">
      <alignment horizontal="center"/>
    </xf>
    <xf numFmtId="0" fontId="0" fillId="0" borderId="36" xfId="0" applyBorder="1" applyAlignment="1" applyProtection="1">
      <alignment horizontal="center"/>
    </xf>
    <xf numFmtId="0" fontId="0" fillId="0" borderId="7" xfId="0" applyBorder="1" applyProtection="1"/>
    <xf numFmtId="2" fontId="0" fillId="5" borderId="28" xfId="0" applyNumberFormat="1" applyFill="1" applyBorder="1" applyProtection="1"/>
    <xf numFmtId="2" fontId="0" fillId="5" borderId="1" xfId="0" applyNumberFormat="1" applyFill="1" applyBorder="1" applyProtection="1"/>
    <xf numFmtId="0" fontId="0" fillId="8" borderId="28" xfId="0" applyFill="1" applyBorder="1" applyProtection="1"/>
    <xf numFmtId="0" fontId="0" fillId="7" borderId="1" xfId="0" applyFill="1" applyBorder="1" applyAlignment="1" applyProtection="1">
      <alignment horizontal="right"/>
    </xf>
    <xf numFmtId="0" fontId="0" fillId="8" borderId="29" xfId="0" applyFill="1" applyBorder="1" applyProtection="1"/>
    <xf numFmtId="0" fontId="0" fillId="7" borderId="8" xfId="0" applyFill="1" applyBorder="1" applyProtection="1"/>
    <xf numFmtId="2" fontId="4" fillId="5" borderId="0" xfId="0" applyNumberFormat="1" applyFont="1" applyFill="1" applyBorder="1" applyProtection="1"/>
    <xf numFmtId="2" fontId="4" fillId="2" borderId="38" xfId="0" applyNumberFormat="1" applyFont="1" applyFill="1" applyBorder="1" applyAlignment="1" applyProtection="1">
      <alignment horizontal="right"/>
    </xf>
    <xf numFmtId="0" fontId="0" fillId="8" borderId="7" xfId="0" applyFill="1" applyBorder="1" applyProtection="1"/>
    <xf numFmtId="0" fontId="0" fillId="7" borderId="37" xfId="0" applyFill="1" applyBorder="1" applyProtection="1"/>
    <xf numFmtId="0" fontId="0" fillId="5" borderId="1" xfId="0" applyFill="1" applyBorder="1" applyProtection="1"/>
    <xf numFmtId="0" fontId="0" fillId="7" borderId="0" xfId="0" applyFill="1" applyBorder="1" applyAlignment="1" applyProtection="1">
      <alignment horizontal="right"/>
    </xf>
    <xf numFmtId="0" fontId="2" fillId="0" borderId="21" xfId="0" applyFont="1" applyBorder="1" applyProtection="1"/>
    <xf numFmtId="2" fontId="2" fillId="3" borderId="21" xfId="0" applyNumberFormat="1" applyFont="1" applyFill="1" applyBorder="1" applyProtection="1"/>
    <xf numFmtId="2" fontId="2" fillId="3" borderId="30" xfId="0" applyNumberFormat="1" applyFont="1" applyFill="1" applyBorder="1" applyAlignment="1" applyProtection="1">
      <alignment horizontal="right"/>
    </xf>
    <xf numFmtId="2" fontId="2" fillId="3" borderId="19" xfId="0" applyNumberFormat="1" applyFont="1" applyFill="1" applyBorder="1" applyProtection="1"/>
    <xf numFmtId="2" fontId="2" fillId="3" borderId="31" xfId="0" applyNumberFormat="1" applyFont="1" applyFill="1" applyBorder="1" applyProtection="1"/>
    <xf numFmtId="2" fontId="2" fillId="3" borderId="39" xfId="0" applyNumberFormat="1" applyFont="1" applyFill="1" applyBorder="1" applyAlignment="1" applyProtection="1">
      <alignment horizontal="right"/>
    </xf>
    <xf numFmtId="2" fontId="2" fillId="3" borderId="21" xfId="0" applyNumberFormat="1" applyFont="1" applyFill="1" applyBorder="1" applyAlignment="1" applyProtection="1">
      <alignment horizontal="right"/>
    </xf>
    <xf numFmtId="2" fontId="2" fillId="3" borderId="31" xfId="0" applyNumberFormat="1" applyFont="1" applyFill="1" applyBorder="1" applyAlignment="1" applyProtection="1">
      <alignment horizontal="right"/>
    </xf>
    <xf numFmtId="0" fontId="0" fillId="0" borderId="0" xfId="0" applyFill="1" applyBorder="1" applyProtection="1"/>
    <xf numFmtId="0" fontId="0" fillId="0" borderId="0" xfId="0" applyFill="1" applyProtection="1"/>
    <xf numFmtId="0" fontId="13" fillId="5" borderId="4" xfId="0" applyFont="1" applyFill="1" applyBorder="1" applyAlignment="1" applyProtection="1">
      <alignment horizontal="center"/>
      <protection locked="0"/>
    </xf>
    <xf numFmtId="0" fontId="0" fillId="0" borderId="0" xfId="0" applyFill="1" applyBorder="1" applyAlignment="1" applyProtection="1">
      <alignment horizontal="center"/>
    </xf>
    <xf numFmtId="0" fontId="1" fillId="0" borderId="6" xfId="0" applyFont="1" applyBorder="1" applyAlignment="1" applyProtection="1">
      <alignment horizontal="center" vertical="center" wrapText="1"/>
    </xf>
    <xf numFmtId="0" fontId="25" fillId="0" borderId="6" xfId="0" applyFont="1" applyBorder="1" applyAlignment="1" applyProtection="1">
      <alignment horizontal="center" vertical="center" wrapText="1"/>
    </xf>
    <xf numFmtId="0" fontId="25" fillId="0" borderId="17"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8" xfId="0" applyFont="1" applyBorder="1" applyAlignment="1" applyProtection="1">
      <alignment horizontal="center" vertical="center" wrapText="1"/>
    </xf>
    <xf numFmtId="0" fontId="2" fillId="0" borderId="26" xfId="0" applyFont="1" applyBorder="1" applyAlignment="1" applyProtection="1">
      <alignment horizontal="left"/>
    </xf>
    <xf numFmtId="0" fontId="2" fillId="0" borderId="40" xfId="0" applyFont="1" applyBorder="1" applyAlignment="1" applyProtection="1">
      <alignment horizontal="left"/>
    </xf>
    <xf numFmtId="0" fontId="2" fillId="0" borderId="35" xfId="0" applyFont="1" applyBorder="1" applyAlignment="1" applyProtection="1">
      <alignment horizontal="left"/>
    </xf>
    <xf numFmtId="0" fontId="0" fillId="0" borderId="6" xfId="0" applyBorder="1" applyAlignment="1" applyProtection="1">
      <alignment horizontal="center"/>
    </xf>
    <xf numFmtId="0" fontId="0" fillId="0" borderId="0" xfId="0" applyBorder="1" applyAlignment="1" applyProtection="1">
      <alignment horizontal="center"/>
    </xf>
    <xf numFmtId="0" fontId="2" fillId="0" borderId="41" xfId="0" applyFont="1" applyBorder="1" applyAlignment="1" applyProtection="1">
      <alignment horizontal="left"/>
    </xf>
    <xf numFmtId="0" fontId="2" fillId="0" borderId="42" xfId="0" applyFont="1" applyBorder="1" applyAlignment="1" applyProtection="1">
      <alignment horizontal="left"/>
    </xf>
    <xf numFmtId="2" fontId="0" fillId="2" borderId="24" xfId="0" applyNumberFormat="1" applyFill="1" applyBorder="1" applyAlignment="1" applyProtection="1">
      <alignment horizontal="right" vertical="center"/>
    </xf>
    <xf numFmtId="2" fontId="0" fillId="2" borderId="8" xfId="0" applyNumberFormat="1" applyFill="1" applyBorder="1" applyAlignment="1" applyProtection="1">
      <alignment horizontal="right" vertical="center"/>
    </xf>
    <xf numFmtId="2" fontId="0" fillId="2" borderId="23" xfId="0" applyNumberFormat="1" applyFill="1" applyBorder="1" applyAlignment="1" applyProtection="1">
      <alignment horizontal="right" vertical="center"/>
    </xf>
    <xf numFmtId="2" fontId="0" fillId="2" borderId="1" xfId="0" applyNumberFormat="1" applyFill="1" applyBorder="1" applyAlignment="1" applyProtection="1">
      <alignment horizontal="right" vertical="center"/>
    </xf>
    <xf numFmtId="2" fontId="0" fillId="2" borderId="22" xfId="0" applyNumberFormat="1" applyFill="1" applyBorder="1" applyAlignment="1" applyProtection="1">
      <alignment horizontal="right" vertical="center"/>
    </xf>
    <xf numFmtId="2" fontId="0" fillId="2" borderId="0" xfId="0" applyNumberFormat="1" applyFill="1" applyBorder="1" applyAlignment="1" applyProtection="1">
      <alignment horizontal="right" vertical="center"/>
    </xf>
    <xf numFmtId="2" fontId="0" fillId="2" borderId="24" xfId="0" applyNumberFormat="1" applyFill="1" applyBorder="1" applyAlignment="1" applyProtection="1">
      <alignment horizontal="center" vertical="center"/>
    </xf>
    <xf numFmtId="2" fontId="0" fillId="2" borderId="8" xfId="0" applyNumberForma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114300</xdr:colOff>
      <xdr:row>2</xdr:row>
      <xdr:rowOff>66675</xdr:rowOff>
    </xdr:from>
    <xdr:to>
      <xdr:col>9</xdr:col>
      <xdr:colOff>561975</xdr:colOff>
      <xdr:row>3</xdr:row>
      <xdr:rowOff>171450</xdr:rowOff>
    </xdr:to>
    <xdr:sp macro="" textlink="">
      <xdr:nvSpPr>
        <xdr:cNvPr id="4" name="Right Arrow 3">
          <a:extLst>
            <a:ext uri="{FF2B5EF4-FFF2-40B4-BE49-F238E27FC236}">
              <a16:creationId xmlns:a16="http://schemas.microsoft.com/office/drawing/2014/main" id="{489721A3-4A42-4EDB-895E-FBE1F9663C5C}"/>
            </a:ext>
          </a:extLst>
        </xdr:cNvPr>
        <xdr:cNvSpPr/>
      </xdr:nvSpPr>
      <xdr:spPr>
        <a:xfrm>
          <a:off x="8115300" y="466725"/>
          <a:ext cx="447675" cy="3048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a:p>
      </xdr:txBody>
    </xdr:sp>
    <xdr:clientData/>
  </xdr:twoCellAnchor>
  <xdr:twoCellAnchor editAs="oneCell">
    <xdr:from>
      <xdr:col>0</xdr:col>
      <xdr:colOff>0</xdr:colOff>
      <xdr:row>1</xdr:row>
      <xdr:rowOff>28575</xdr:rowOff>
    </xdr:from>
    <xdr:to>
      <xdr:col>1</xdr:col>
      <xdr:colOff>1346323</xdr:colOff>
      <xdr:row>3</xdr:row>
      <xdr:rowOff>190500</xdr:rowOff>
    </xdr:to>
    <xdr:pic>
      <xdr:nvPicPr>
        <xdr:cNvPr id="2" name="Picture 1">
          <a:extLst>
            <a:ext uri="{FF2B5EF4-FFF2-40B4-BE49-F238E27FC236}">
              <a16:creationId xmlns:a16="http://schemas.microsoft.com/office/drawing/2014/main" id="{9E69E52C-FBBA-4628-8407-E3C86DCBBF5C}"/>
            </a:ext>
          </a:extLst>
        </xdr:cNvPr>
        <xdr:cNvPicPr>
          <a:picLocks noChangeAspect="1"/>
        </xdr:cNvPicPr>
      </xdr:nvPicPr>
      <xdr:blipFill>
        <a:blip xmlns:r="http://schemas.openxmlformats.org/officeDocument/2006/relationships" r:embed="rId1"/>
        <a:stretch>
          <a:fillRect/>
        </a:stretch>
      </xdr:blipFill>
      <xdr:spPr>
        <a:xfrm>
          <a:off x="0" y="228600"/>
          <a:ext cx="2917948" cy="5619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SERENA CHANG" id="{13BD740A-8AD8-48B7-85FF-E1DF800AE47E}" userId="" providerId=""/>
  <person displayName="SAMANTHA DRAGHI" id="{A83904D2-A959-4495-AE3E-46F5640A95EA}" userId="" providerId=""/>
  <person displayName="Madeleine Farrington" id="{0434F6D7-CDE8-4259-BBDA-C355C6E1F382}" userId="" providerI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16" dT="2021-03-12T00:52:18.43" personId="{A83904D2-A959-4495-AE3E-46F5640A95EA}" id="{305080F5-FDD2-46E7-B739-D9D15E009363}">
    <text>on the Kodak page I'm using the 20L container  of bleach solution supplies 33.3 litres of replenisher solution which I'm not yet sure if it's the total amount or if its part of the amount</text>
  </threadedComment>
  <threadedComment ref="B217" dT="2021-02-25T02:43:28.04" personId="{0434F6D7-CDE8-4259-BBDA-C355C6E1F382}" id="{D4BC3676-D7D1-415B-B371-E72904EA8685}">
    <text>5-30 mL/sq_ft is how much bleach is added to the used solution. The same amount of used solution is discarded at this time. How do we get from this value to figuring out how much bleach solution is recycled?</text>
  </threadedComment>
  <threadedComment ref="B217" dT="2021-02-25T19:11:10.09" personId="{0434F6D7-CDE8-4259-BBDA-C355C6E1F382}" id="{C392783E-E79A-4A36-B161-A76F5557DF9E}" parentId="{D4BC3676-D7D1-415B-B371-E72904EA8685}">
    <text>Viraj: we don't know how long the remaining bleach gets used before it gets replaced, but it is probably many many years --&gt; if they develop a huge amount of film over those years, then the impact of the remaining bleach solution per square ft of film will be very very small --&gt; approximate that this is 0, so we can just look at the impact of the 5-30 ml/sqft of bleach.</text>
  </threadedComment>
  <threadedComment ref="D221" dT="2021-03-17T18:21:31.65" personId="{13BD740A-8AD8-48B7-85FF-E1DF800AE47E}" id="{E9370904-7BA7-46F1-A5F4-B0CD137895A7}">
    <text xml:space="preserve">600 mL wastewater flow/tank of wash
(based on table 1-4 and it looks like 3 tanks are used)
https://www.epa.gov/sites/production/files/2015-11/documents/photo-processing_memo-304m-record_2005.pdf </text>
  </threadedComment>
  <threadedComment ref="D221" dT="2021-03-17T20:50:44.38" personId="{13BD740A-8AD8-48B7-85FF-E1DF800AE47E}" id="{E2993518-E4BF-4DF3-9ED4-0D9143578B32}" parentId="{E9370904-7BA7-46F1-A5F4-B0CD137895A7}">
    <text>"Wash waters are replenished at 200 to 1000 mL/ sqft (tank?) https://www.epa.gov/sites/production/files/2015-11/documents/photoprocessing_prelim-data-summary_1997.pdf</text>
  </threadedComment>
  <threadedComment ref="D221" dT="2021-03-17T20:54:00.31" personId="{13BD740A-8AD8-48B7-85FF-E1DF800AE47E}" id="{F2F0160C-FA7D-4192-889C-EF0744541B84}" parentId="{E9370904-7BA7-46F1-A5F4-B0CD137895A7}">
    <text>https://www.epa.gov/sites/production/files/2015-11/documents/photo-processing_guidance_1981.pdf
just to have this link too</text>
  </threadedComment>
  <threadedComment ref="C226" dT="2021-03-12T00:58:17.46" personId="{A83904D2-A959-4495-AE3E-46F5640A95EA}" id="{DE6B2B6E-BCB2-4B5D-8C3F-2F3E99B6D19A}">
    <text>not sure exactly what total water should be per. so im leaving it like this for now but can go back and change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rcrapublic.epa.gov/rcrainfoweb/documents/2019_br_file_specs.pdf;jsessionid=4CEAF6781F1AB037D93C3853231C6D62" TargetMode="External"/><Relationship Id="rId13" Type="http://schemas.openxmlformats.org/officeDocument/2006/relationships/hyperlink" Target="https://www.sigmaaldrich.com/catalog/product/aldrich/419028?lang=en&amp;region=US" TargetMode="External"/><Relationship Id="rId18" Type="http://schemas.openxmlformats.org/officeDocument/2006/relationships/hyperlink" Target="https://www.kodak.com/content/products-brochures/Company/Kodak-2017-Corporate-Responsibility-Report.pdf" TargetMode="External"/><Relationship Id="rId26" Type="http://schemas.openxmlformats.org/officeDocument/2006/relationships/hyperlink" Target="https://scholarworks.sjsu.edu/cgi/viewcontent.cgi?article=4919&amp;context=etd_theses" TargetMode="External"/><Relationship Id="rId39" Type="http://schemas.openxmlformats.org/officeDocument/2006/relationships/hyperlink" Target="https://www.eastman.com/Company/investors/Documents/ESG-Databook.pdf" TargetMode="External"/><Relationship Id="rId3" Type="http://schemas.openxmlformats.org/officeDocument/2006/relationships/hyperlink" Target="https://s3-us-west-2.amazonaws.com/prd-wret/assets/palladium/production/mineral-pubs/silver/mcs-2015-silve.pdf" TargetMode="External"/><Relationship Id="rId21" Type="http://schemas.openxmlformats.org/officeDocument/2006/relationships/hyperlink" Target="https://afleet-web.es.anl.gov/afleet/" TargetMode="External"/><Relationship Id="rId34" Type="http://schemas.openxmlformats.org/officeDocument/2006/relationships/hyperlink" Target="https://www.eastman.com/Company/investors/Documents/ESG-Databook.pdf" TargetMode="External"/><Relationship Id="rId42" Type="http://schemas.openxmlformats.org/officeDocument/2006/relationships/comments" Target="../comments1.xml"/><Relationship Id="rId7" Type="http://schemas.openxmlformats.org/officeDocument/2006/relationships/hyperlink" Target="https://www.epa.gov/hwgenerators/biennial-hazardous-waste-report" TargetMode="External"/><Relationship Id="rId12" Type="http://schemas.openxmlformats.org/officeDocument/2006/relationships/hyperlink" Target="https://rcrapublic.epa.gov/rcrainfoweb/documents/2019_br_file_specs.pdf;jsessionid=4CEAF6781F1AB037D93C3853231C6D62" TargetMode="External"/><Relationship Id="rId17" Type="http://schemas.openxmlformats.org/officeDocument/2006/relationships/hyperlink" Target="https://www.kodak.com/content/products-brochures/Company/Kodak-2017-Corporate-Responsibility-Report.pdf" TargetMode="External"/><Relationship Id="rId25" Type="http://schemas.openxmlformats.org/officeDocument/2006/relationships/hyperlink" Target="https://scholarworks.sjsu.edu/cgi/viewcontent.cgi?article=4919&amp;context=etd_theses" TargetMode="External"/><Relationship Id="rId33" Type="http://schemas.openxmlformats.org/officeDocument/2006/relationships/hyperlink" Target="https://www.indexmundi.com/commodities/?commodity=silver&amp;months=240" TargetMode="External"/><Relationship Id="rId38" Type="http://schemas.openxmlformats.org/officeDocument/2006/relationships/hyperlink" Target="https://www.eastman.com/Company/investors/Documents/ESG-Databook.pdf" TargetMode="External"/><Relationship Id="rId2" Type="http://schemas.openxmlformats.org/officeDocument/2006/relationships/hyperlink" Target="https://s3-us-west-2.amazonaws.com/prd-wret/assets/palladium/production/mineral-pubs/silver/mcs-2015-silve.pdf" TargetMode="External"/><Relationship Id="rId16" Type="http://schemas.openxmlformats.org/officeDocument/2006/relationships/hyperlink" Target="https://www.kodak.com/content/products-brochures/Company/Kodak-2017-Corporate-Responsibility-Report.pdf" TargetMode="External"/><Relationship Id="rId20" Type="http://schemas.openxmlformats.org/officeDocument/2006/relationships/hyperlink" Target="https://www.galpinstudiorentals.com/vehicle_specs.php" TargetMode="External"/><Relationship Id="rId29" Type="http://schemas.openxmlformats.org/officeDocument/2006/relationships/hyperlink" Target="https://scholarworks.sjsu.edu/cgi/viewcontent.cgi?article=4919&amp;context=etd_theses" TargetMode="External"/><Relationship Id="rId41" Type="http://schemas.openxmlformats.org/officeDocument/2006/relationships/vmlDrawing" Target="../drawings/vmlDrawing1.vml"/><Relationship Id="rId1" Type="http://schemas.openxmlformats.org/officeDocument/2006/relationships/hyperlink" Target="https://s3-us-west-2.amazonaws.com/prd-wret/assets/palladium/production/mineral-pubs/silver/mcs-2015-silve.pdf" TargetMode="External"/><Relationship Id="rId6" Type="http://schemas.openxmlformats.org/officeDocument/2006/relationships/hyperlink" Target="https://catalog.data.gov/dataset/useeio-v1-1-matrices" TargetMode="External"/><Relationship Id="rId11" Type="http://schemas.openxmlformats.org/officeDocument/2006/relationships/hyperlink" Target="https://www.eastman.com/Company/investors/Documents/ESG-Databook.pdf" TargetMode="External"/><Relationship Id="rId24" Type="http://schemas.openxmlformats.org/officeDocument/2006/relationships/hyperlink" Target="https://www.epa.gov/sites/production/files/2015-11/documents/photoprocessing_prelim-data-summary_1997.pdf" TargetMode="External"/><Relationship Id="rId32" Type="http://schemas.openxmlformats.org/officeDocument/2006/relationships/hyperlink" Target="https://www.epa.gov/sites/production/files/2015-11/documents/photoprocessing_prelim-data-summary_1997.pdf" TargetMode="External"/><Relationship Id="rId37" Type="http://schemas.openxmlformats.org/officeDocument/2006/relationships/hyperlink" Target="https://www.eastman.com/Company/investors/Documents/ESG-Databook.pdf" TargetMode="External"/><Relationship Id="rId40" Type="http://schemas.openxmlformats.org/officeDocument/2006/relationships/hyperlink" Target="https://www.eastman.com/Company/investors/Documents/ESG-Databook.pdf" TargetMode="External"/><Relationship Id="rId5" Type="http://schemas.openxmlformats.org/officeDocument/2006/relationships/hyperlink" Target="https://catalog.data.gov/dataset/useeio-v1-1-matrices" TargetMode="External"/><Relationship Id="rId15" Type="http://schemas.openxmlformats.org/officeDocument/2006/relationships/hyperlink" Target="https://www.annualreports.com/HostedData/AnnualReportArchive/e/NASDAQ_KODK_2017.pdf" TargetMode="External"/><Relationship Id="rId23" Type="http://schemas.openxmlformats.org/officeDocument/2006/relationships/hyperlink" Target="https://www.epa.gov/sites/production/files/2015-11/documents/photoprocessing_prelim-data-summary_1997.pdf" TargetMode="External"/><Relationship Id="rId28" Type="http://schemas.openxmlformats.org/officeDocument/2006/relationships/hyperlink" Target="https://www.epa.gov/sites/production/files/2015-11/documents/photoprocessing_prelim-data-summary_1997.pdf" TargetMode="External"/><Relationship Id="rId36" Type="http://schemas.openxmlformats.org/officeDocument/2006/relationships/hyperlink" Target="https://www.eastman.com/Company/investors/Documents/ESG-Databook.pdf" TargetMode="External"/><Relationship Id="rId10" Type="http://schemas.openxmlformats.org/officeDocument/2006/relationships/hyperlink" Target="http://www.hecla-mining.com/lucky-friday/" TargetMode="External"/><Relationship Id="rId19" Type="http://schemas.openxmlformats.org/officeDocument/2006/relationships/hyperlink" Target="https://www.kodak.com/content/products-brochures/Company/Kodak-2017-Corporate-Responsibility-Report.pdf" TargetMode="External"/><Relationship Id="rId31" Type="http://schemas.openxmlformats.org/officeDocument/2006/relationships/hyperlink" Target="https://www.epa.gov/sites/production/files/2015-11/documents/photoprocessing_prelim-data-summary_1997.pdf" TargetMode="External"/><Relationship Id="rId4" Type="http://schemas.openxmlformats.org/officeDocument/2006/relationships/hyperlink" Target="https://catalog.data.gov/dataset/useeio-v1-1-matrices" TargetMode="External"/><Relationship Id="rId9" Type="http://schemas.openxmlformats.org/officeDocument/2006/relationships/hyperlink" Target="http://www.hecla-mining.com/lucky-friday/" TargetMode="External"/><Relationship Id="rId14" Type="http://schemas.openxmlformats.org/officeDocument/2006/relationships/hyperlink" Target="https://nitta-gelatin.com/wp-content/uploads/2018/02/GMIA_Gelatin-Handbook.pdf" TargetMode="External"/><Relationship Id="rId22" Type="http://schemas.openxmlformats.org/officeDocument/2006/relationships/hyperlink" Target="https://www.transportation.gov/sustainability/climate/transportation-ghg-emissions-and-trends" TargetMode="External"/><Relationship Id="rId27" Type="http://schemas.openxmlformats.org/officeDocument/2006/relationships/hyperlink" Target="https://scholarworks.sjsu.edu/cgi/viewcontent.cgi?article=4919&amp;context=etd_theses" TargetMode="External"/><Relationship Id="rId30" Type="http://schemas.openxmlformats.org/officeDocument/2006/relationships/hyperlink" Target="https://scholarworks.sjsu.edu/cgi/viewcontent.cgi?article=4919&amp;context=etd_theses" TargetMode="External"/><Relationship Id="rId35" Type="http://schemas.openxmlformats.org/officeDocument/2006/relationships/hyperlink" Target="https://www.eastman.com/Company/investors/Documents/ESG-Databook.pdf" TargetMode="External"/><Relationship Id="rId43"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hugdiy.com/sdhc-16gb-class-4-p-203" TargetMode="External"/><Relationship Id="rId13" Type="http://schemas.openxmlformats.org/officeDocument/2006/relationships/hyperlink" Target="https://afleet-web.es.anl.gov/afleet/" TargetMode="External"/><Relationship Id="rId3" Type="http://schemas.openxmlformats.org/officeDocument/2006/relationships/hyperlink" Target="https://pubs.acs.org/doi/10.1021/es025643o" TargetMode="External"/><Relationship Id="rId7" Type="http://schemas.openxmlformats.org/officeDocument/2006/relationships/hyperlink" Target="https://www.seagate.com/files/www-content/global-citizenship/en-us/docs/seagate-koho-enterprise-ssd-lca-summary-2016-07-29.pdf" TargetMode="External"/><Relationship Id="rId12" Type="http://schemas.openxmlformats.org/officeDocument/2006/relationships/hyperlink" Target="https://afleet-web.es.anl.gov/afleet/" TargetMode="External"/><Relationship Id="rId2" Type="http://schemas.openxmlformats.org/officeDocument/2006/relationships/hyperlink" Target="https://pubs.acs.org/doi/10.1021/es025643o" TargetMode="External"/><Relationship Id="rId16" Type="http://schemas.openxmlformats.org/officeDocument/2006/relationships/hyperlink" Target="https://www.seagate.com/global-citizenship/product-sustainability/nytro-1551-sustainability-report/" TargetMode="External"/><Relationship Id="rId1" Type="http://schemas.openxmlformats.org/officeDocument/2006/relationships/hyperlink" Target="https://pubs.acs.org/doi/10.1021/es025643o" TargetMode="External"/><Relationship Id="rId6" Type="http://schemas.openxmlformats.org/officeDocument/2006/relationships/hyperlink" Target="https://www.seagate.com/files/www-content/global-citizenship/en-us/docs/seagate-koho-enterprise-ssd-lca-summary-2016-07-29.pdf" TargetMode="External"/><Relationship Id="rId11" Type="http://schemas.openxmlformats.org/officeDocument/2006/relationships/hyperlink" Target="https://www.techinsights.com/blog/intelmicron-64l-3d-nand-analysis" TargetMode="External"/><Relationship Id="rId5" Type="http://schemas.openxmlformats.org/officeDocument/2006/relationships/hyperlink" Target="https://www.watercalculator.org/footprint/the-hidden-water-in-everyday-products/" TargetMode="External"/><Relationship Id="rId15" Type="http://schemas.openxmlformats.org/officeDocument/2006/relationships/hyperlink" Target="https://www.uhaul.com/Blog/2013/03/09/estimating-mpg-for-your-next-moving-truck/" TargetMode="External"/><Relationship Id="rId10" Type="http://schemas.openxmlformats.org/officeDocument/2006/relationships/hyperlink" Target="https://www.techinsights.com/blog/intelmicron-64l-3d-nand-analysis" TargetMode="External"/><Relationship Id="rId4" Type="http://schemas.openxmlformats.org/officeDocument/2006/relationships/hyperlink" Target="https://learn.openenergymonitor.org/sustainable-energy/energy/industry-plastic" TargetMode="External"/><Relationship Id="rId9" Type="http://schemas.openxmlformats.org/officeDocument/2006/relationships/hyperlink" Target="https://escholarship.org/content/qt8bv2s63d/qt8bv2s63d.pdf" TargetMode="External"/><Relationship Id="rId14" Type="http://schemas.openxmlformats.org/officeDocument/2006/relationships/hyperlink" Target="https://www.uhaul.com/Blog/2013/03/09/estimating-mpg-for-your-next-moving-truck/"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metric-conversions.org/area/square-feet-to-square-meters.htm" TargetMode="External"/><Relationship Id="rId13" Type="http://schemas.openxmlformats.org/officeDocument/2006/relationships/hyperlink" Target="https://www.convertunits.com/from/kwh/to/MJ" TargetMode="External"/><Relationship Id="rId18" Type="http://schemas.openxmlformats.org/officeDocument/2006/relationships/hyperlink" Target="https://www.metric-conversions.org/weight/short-tons-to-ounces.htm" TargetMode="External"/><Relationship Id="rId26" Type="http://schemas.openxmlformats.org/officeDocument/2006/relationships/hyperlink" Target="https://www.convertunits.com/from/gallons/to/million+cubic+metre" TargetMode="External"/><Relationship Id="rId3" Type="http://schemas.openxmlformats.org/officeDocument/2006/relationships/hyperlink" Target="https://www.metric-conversions.org/volume/us-liquid-gallons-to-liters.htm" TargetMode="External"/><Relationship Id="rId21" Type="http://schemas.openxmlformats.org/officeDocument/2006/relationships/hyperlink" Target="https://www.metric-conversions.org/weight/pounds-to-kilograms.htm" TargetMode="External"/><Relationship Id="rId7" Type="http://schemas.openxmlformats.org/officeDocument/2006/relationships/hyperlink" Target="https://www.metric-conversions.org/length/meters-to-micrometers.htm" TargetMode="External"/><Relationship Id="rId12" Type="http://schemas.openxmlformats.org/officeDocument/2006/relationships/hyperlink" Target="https://www.metric-conversions.org/weight/short-tons-to-kilograms.htm" TargetMode="External"/><Relationship Id="rId17" Type="http://schemas.openxmlformats.org/officeDocument/2006/relationships/hyperlink" Target="http://www.intervalometers.com/resource/" TargetMode="External"/><Relationship Id="rId25" Type="http://schemas.openxmlformats.org/officeDocument/2006/relationships/hyperlink" Target="https://www.unitconverters.net/prefixes/giga-to-tera.htm" TargetMode="External"/><Relationship Id="rId2" Type="http://schemas.openxmlformats.org/officeDocument/2006/relationships/hyperlink" Target="https://www.metric-conversions.org/energy-and-power/megawatt-hours-to-kilowatt-hours.htm" TargetMode="External"/><Relationship Id="rId16" Type="http://schemas.openxmlformats.org/officeDocument/2006/relationships/hyperlink" Target="https://www.rapidtables.com/calc/time/days-in-year.html" TargetMode="External"/><Relationship Id="rId20" Type="http://schemas.openxmlformats.org/officeDocument/2006/relationships/hyperlink" Target="https://www.metric-conversions.org/weight/kilograms-to-grams.htm" TargetMode="External"/><Relationship Id="rId1" Type="http://schemas.openxmlformats.org/officeDocument/2006/relationships/hyperlink" Target="https://www.metric-conversions.org/weight/troy-ounces-to-grams.htm" TargetMode="External"/><Relationship Id="rId6" Type="http://schemas.openxmlformats.org/officeDocument/2006/relationships/hyperlink" Target="https://www.metric-conversions.org/length/meters-to-millimeters.htm" TargetMode="External"/><Relationship Id="rId11" Type="http://schemas.openxmlformats.org/officeDocument/2006/relationships/hyperlink" Target="https://www.unitjuggler.com/convert-density-from-gpermL-to-kgperm3.html" TargetMode="External"/><Relationship Id="rId24" Type="http://schemas.openxmlformats.org/officeDocument/2006/relationships/hyperlink" Target="https://www.unitconverters.net/volume/liters-to-gallons.htm" TargetMode="External"/><Relationship Id="rId5" Type="http://schemas.openxmlformats.org/officeDocument/2006/relationships/hyperlink" Target="https://www.metric-conversions.org/length/meters-to-feet.htm" TargetMode="External"/><Relationship Id="rId15" Type="http://schemas.openxmlformats.org/officeDocument/2006/relationships/hyperlink" Target="https://www.convertunits.com/from/TJ/to/kilowatt+hours" TargetMode="External"/><Relationship Id="rId23" Type="http://schemas.openxmlformats.org/officeDocument/2006/relationships/hyperlink" Target="https://www.conversionunites.com/converter-square-centimetre-to-square-millimetre" TargetMode="External"/><Relationship Id="rId10" Type="http://schemas.openxmlformats.org/officeDocument/2006/relationships/hyperlink" Target="https://www.kodak.com/content/products-brochures/Film/Kodak-Motion-Picture-Products-Price-Catalog-US.pdf" TargetMode="External"/><Relationship Id="rId19" Type="http://schemas.openxmlformats.org/officeDocument/2006/relationships/hyperlink" Target="https://www.metric-conversions.org/weight/ounces-to-kilograms.htm" TargetMode="External"/><Relationship Id="rId4" Type="http://schemas.openxmlformats.org/officeDocument/2006/relationships/hyperlink" Target="https://www.metric-conversions.org/weight/metric-tons-to-kilograms.htm" TargetMode="External"/><Relationship Id="rId9" Type="http://schemas.openxmlformats.org/officeDocument/2006/relationships/hyperlink" Target="https://www.metric-conversions.org/weight/milligrams-to-kilograms.htm" TargetMode="External"/><Relationship Id="rId14" Type="http://schemas.openxmlformats.org/officeDocument/2006/relationships/hyperlink" Target="https://www.metric-conversions.org/volume/cubic-meters-to-us-liquid-gallons.htm" TargetMode="External"/><Relationship Id="rId22" Type="http://schemas.openxmlformats.org/officeDocument/2006/relationships/hyperlink" Target="https://metric-calculator.com/convert-kg-to-liter.htm" TargetMode="External"/><Relationship Id="rId27" Type="http://schemas.openxmlformats.org/officeDocument/2006/relationships/hyperlink" Target="https://www.kodak.com/content/products-brochures/Film/Kodak-Motion-Picture-Products-Price-Catalog-US.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nitta-gelatin.com/wp-content/uploads/2018/02/GMIA_Gelatin-Handbook.pdf" TargetMode="External"/><Relationship Id="rId13" Type="http://schemas.openxmlformats.org/officeDocument/2006/relationships/hyperlink" Target="https://scholarworks.sjsu.edu/cgi/viewcontent.cgi?article=4919&amp;context=etd_theses" TargetMode="External"/><Relationship Id="rId3" Type="http://schemas.openxmlformats.org/officeDocument/2006/relationships/hyperlink" Target="https://www.epa.gov/hwgenerators/biennial-hazardous-waste-report" TargetMode="External"/><Relationship Id="rId7" Type="http://schemas.openxmlformats.org/officeDocument/2006/relationships/hyperlink" Target="https://www.sigmaaldrich.com/catalog/product/aldrich/419028?lang=en&amp;region=US" TargetMode="External"/><Relationship Id="rId12" Type="http://schemas.openxmlformats.org/officeDocument/2006/relationships/hyperlink" Target="https://www.epa.gov/sites/production/files/2015-11/documents/photoprocessing_prelim-data-summary_1997.pdf" TargetMode="External"/><Relationship Id="rId2" Type="http://schemas.openxmlformats.org/officeDocument/2006/relationships/hyperlink" Target="https://catalog.data.gov/dataset/useeio-v1-1-matrices" TargetMode="External"/><Relationship Id="rId1" Type="http://schemas.openxmlformats.org/officeDocument/2006/relationships/hyperlink" Target="https://s3-us-west-2.amazonaws.com/prd-wret/assets/palladium/production/mineral-pubs/silver/mcs-2015-silve.pdf" TargetMode="External"/><Relationship Id="rId6" Type="http://schemas.openxmlformats.org/officeDocument/2006/relationships/hyperlink" Target="https://www.eastman.com/Company/investors/Documents/ESG-Databook.pdf" TargetMode="External"/><Relationship Id="rId11" Type="http://schemas.openxmlformats.org/officeDocument/2006/relationships/hyperlink" Target="https://www.galpinstudiorentals.com/vehicle_specs.php" TargetMode="External"/><Relationship Id="rId5" Type="http://schemas.openxmlformats.org/officeDocument/2006/relationships/hyperlink" Target="http://www.hecla-mining.com/lucky-friday/" TargetMode="External"/><Relationship Id="rId15" Type="http://schemas.openxmlformats.org/officeDocument/2006/relationships/hyperlink" Target="https://www.transportation.gov/sustainability/climate/transportation-ghg-emissions-and-trends" TargetMode="External"/><Relationship Id="rId10" Type="http://schemas.openxmlformats.org/officeDocument/2006/relationships/hyperlink" Target="https://www.kodak.com/content/products-brochures/Company/Kodak-2017-Corporate-Responsibility-Report.pdf" TargetMode="External"/><Relationship Id="rId4" Type="http://schemas.openxmlformats.org/officeDocument/2006/relationships/hyperlink" Target="https://rcrapublic.epa.gov/rcrainfoweb/documents/2019_br_file_specs.pdf;jsessionid=4CEAF6781F1AB037D93C3853231C6D62" TargetMode="External"/><Relationship Id="rId9" Type="http://schemas.openxmlformats.org/officeDocument/2006/relationships/hyperlink" Target="https://www.annualreports.com/HostedData/AnnualReportArchive/e/NASDAQ_KODK_2017.pdf" TargetMode="External"/><Relationship Id="rId14" Type="http://schemas.openxmlformats.org/officeDocument/2006/relationships/hyperlink" Target="https://www.indexmundi.com/commodities/?commodity=silver&amp;months=240"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watercalculator.org/footprint/the-hidden-water-in-everyday-products/" TargetMode="External"/><Relationship Id="rId3" Type="http://schemas.openxmlformats.org/officeDocument/2006/relationships/hyperlink" Target="https://www.hugdiy.com/sdhc-16gb-class-4-p-203" TargetMode="External"/><Relationship Id="rId7" Type="http://schemas.openxmlformats.org/officeDocument/2006/relationships/hyperlink" Target="https://afleet-web.es.anl.gov/afleet/" TargetMode="External"/><Relationship Id="rId2" Type="http://schemas.openxmlformats.org/officeDocument/2006/relationships/hyperlink" Target="https://learn.openenergymonitor.org/sustainable-energy/energy/industry-plastic" TargetMode="External"/><Relationship Id="rId1" Type="http://schemas.openxmlformats.org/officeDocument/2006/relationships/hyperlink" Target="https://pubs.acs.org/doi/10.1021/es025643o" TargetMode="External"/><Relationship Id="rId6" Type="http://schemas.openxmlformats.org/officeDocument/2006/relationships/hyperlink" Target="https://www.uhaul.com/Blog/2013/03/09/estimating-mpg-for-your-next-moving-truck/" TargetMode="External"/><Relationship Id="rId5" Type="http://schemas.openxmlformats.org/officeDocument/2006/relationships/hyperlink" Target="https://www.techinsights.com/blog/intelmicron-64l-3d-nand-analysis" TargetMode="External"/><Relationship Id="rId10" Type="http://schemas.openxmlformats.org/officeDocument/2006/relationships/hyperlink" Target="https://www.seagate.com/global-citizenship/product-sustainability/nytro-1551-sustainability-report/" TargetMode="External"/><Relationship Id="rId4" Type="http://schemas.openxmlformats.org/officeDocument/2006/relationships/hyperlink" Target="https://www.seagate.com/files/www-content/global-citizenship/en-us/docs/seagate-koho-enterprise-ssd-lca-summary-2016-07-29.pdf" TargetMode="External"/><Relationship Id="rId9" Type="http://schemas.openxmlformats.org/officeDocument/2006/relationships/hyperlink" Target="https://escholarship.org/content/qt8bv2s63d/qt8bv2s63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5DA43-C2E9-4069-98CD-6C146C1B72ED}">
  <dimension ref="A1:L227"/>
  <sheetViews>
    <sheetView tabSelected="1" workbookViewId="0">
      <selection activeCell="K4" sqref="K4"/>
    </sheetView>
  </sheetViews>
  <sheetFormatPr defaultRowHeight="15.75"/>
  <cols>
    <col min="1" max="1" width="20.625" customWidth="1"/>
    <col min="2" max="2" width="18.875" customWidth="1"/>
    <col min="3" max="3" width="10.5" bestFit="1" customWidth="1"/>
    <col min="4" max="4" width="9.5" bestFit="1" customWidth="1"/>
    <col min="5" max="5" width="6.875" customWidth="1"/>
    <col min="7" max="7" width="13.375" customWidth="1"/>
    <col min="8" max="8" width="11.875" customWidth="1"/>
    <col min="9" max="9" width="12.125" customWidth="1"/>
    <col min="11" max="11" width="15.75" customWidth="1"/>
  </cols>
  <sheetData>
    <row r="1" spans="1:12">
      <c r="A1" s="240"/>
      <c r="B1" s="240"/>
      <c r="C1" s="275" t="s">
        <v>610</v>
      </c>
      <c r="D1" s="276"/>
      <c r="E1" s="276"/>
      <c r="F1" s="276"/>
      <c r="G1" s="276"/>
      <c r="H1" s="276"/>
      <c r="I1" s="277"/>
      <c r="J1" s="241"/>
    </row>
    <row r="2" spans="1:12">
      <c r="A2" s="240"/>
      <c r="B2" s="240"/>
      <c r="C2" s="278"/>
      <c r="D2" s="278"/>
      <c r="E2" s="278"/>
      <c r="F2" s="278"/>
      <c r="G2" s="278"/>
      <c r="H2" s="278"/>
      <c r="I2" s="279"/>
      <c r="J2" s="241"/>
    </row>
    <row r="3" spans="1:12">
      <c r="A3" s="240"/>
      <c r="B3" s="240"/>
      <c r="C3" s="278"/>
      <c r="D3" s="278"/>
      <c r="E3" s="278"/>
      <c r="F3" s="278"/>
      <c r="G3" s="278"/>
      <c r="H3" s="278"/>
      <c r="I3" s="279"/>
      <c r="J3" s="241"/>
      <c r="K3" s="79" t="s">
        <v>0</v>
      </c>
    </row>
    <row r="4" spans="1:12">
      <c r="A4" s="240"/>
      <c r="B4" s="240"/>
      <c r="C4" s="278"/>
      <c r="D4" s="278"/>
      <c r="E4" s="278"/>
      <c r="F4" s="278"/>
      <c r="G4" s="278"/>
      <c r="H4" s="278"/>
      <c r="I4" s="279"/>
      <c r="J4" s="241"/>
      <c r="K4" s="273">
        <v>1</v>
      </c>
    </row>
    <row r="5" spans="1:12">
      <c r="A5" s="240"/>
      <c r="B5" s="240"/>
      <c r="C5" s="278"/>
      <c r="D5" s="278"/>
      <c r="E5" s="278"/>
      <c r="F5" s="278"/>
      <c r="G5" s="278"/>
      <c r="H5" s="278"/>
      <c r="I5" s="279"/>
      <c r="J5" s="241"/>
    </row>
    <row r="6" spans="1:12">
      <c r="A6" s="240"/>
      <c r="B6" s="240"/>
      <c r="C6" s="278"/>
      <c r="D6" s="278"/>
      <c r="E6" s="278"/>
      <c r="F6" s="278"/>
      <c r="G6" s="278"/>
      <c r="H6" s="278"/>
      <c r="I6" s="279"/>
      <c r="J6" s="241"/>
    </row>
    <row r="7" spans="1:12" ht="16.5" thickBot="1">
      <c r="A7" s="240"/>
      <c r="B7" s="240"/>
      <c r="C7" s="278"/>
      <c r="D7" s="278"/>
      <c r="E7" s="278"/>
      <c r="F7" s="278"/>
      <c r="G7" s="278"/>
      <c r="H7" s="278"/>
      <c r="I7" s="279"/>
      <c r="J7" s="241"/>
    </row>
    <row r="8" spans="1:12">
      <c r="A8" s="242"/>
      <c r="B8" s="280" t="s">
        <v>1</v>
      </c>
      <c r="C8" s="281"/>
      <c r="D8" s="285" t="s">
        <v>2</v>
      </c>
      <c r="E8" s="282"/>
      <c r="F8" s="285" t="s">
        <v>3</v>
      </c>
      <c r="G8" s="286"/>
      <c r="H8" s="280" t="s">
        <v>4</v>
      </c>
      <c r="I8" s="282"/>
      <c r="J8" s="243"/>
      <c r="K8" s="2"/>
    </row>
    <row r="9" spans="1:12" ht="15.75" customHeight="1">
      <c r="A9" s="244" t="s">
        <v>5</v>
      </c>
      <c r="B9" s="245" t="s">
        <v>6</v>
      </c>
      <c r="C9" s="246" t="s">
        <v>7</v>
      </c>
      <c r="D9" s="247" t="s">
        <v>6</v>
      </c>
      <c r="E9" s="248" t="s">
        <v>7</v>
      </c>
      <c r="F9" s="247" t="s">
        <v>6</v>
      </c>
      <c r="G9" s="247" t="s">
        <v>7</v>
      </c>
      <c r="H9" s="249" t="s">
        <v>6</v>
      </c>
      <c r="I9" s="248" t="s">
        <v>7</v>
      </c>
      <c r="J9" s="243"/>
    </row>
    <row r="10" spans="1:12">
      <c r="A10" s="250" t="s">
        <v>8</v>
      </c>
      <c r="B10" s="251">
        <f>Film!$D$125*K4</f>
        <v>892.80155569536555</v>
      </c>
      <c r="C10" s="289">
        <f>'SD Cards'!D43*K4</f>
        <v>22.149578810759998</v>
      </c>
      <c r="D10" s="252">
        <f>Film!$D$126*K4</f>
        <v>1376.0606685369719</v>
      </c>
      <c r="E10" s="293">
        <f>'SD Cards'!D44</f>
        <v>12.344123305244045</v>
      </c>
      <c r="F10" s="252">
        <f>Film!$D$127*K4</f>
        <v>183.20075981394245</v>
      </c>
      <c r="G10" s="291">
        <f>'SD Cards'!D45*K4</f>
        <v>90.755208333333343</v>
      </c>
      <c r="H10" s="251">
        <f>Film!$D$128*K4</f>
        <v>4.6901103050041151E-2</v>
      </c>
      <c r="I10" s="287">
        <f>'SD Cards'!D46*General!K4</f>
        <v>1.6243000000000001</v>
      </c>
      <c r="J10" s="243"/>
    </row>
    <row r="11" spans="1:12">
      <c r="A11" s="250" t="s">
        <v>9</v>
      </c>
      <c r="B11" s="251">
        <f>Film!$D$154*K4</f>
        <v>333.625303453112</v>
      </c>
      <c r="C11" s="290"/>
      <c r="D11" s="252">
        <f>Film!$D$170*K4</f>
        <v>442.34760998461888</v>
      </c>
      <c r="E11" s="294"/>
      <c r="F11" s="252">
        <f>Film!$D$162*K4</f>
        <v>191.80268261150619</v>
      </c>
      <c r="G11" s="292"/>
      <c r="H11" s="251">
        <f>Film!$D$184*K4</f>
        <v>1.7955197126927696</v>
      </c>
      <c r="I11" s="288"/>
      <c r="J11" s="243"/>
    </row>
    <row r="12" spans="1:12">
      <c r="A12" s="250" t="s">
        <v>10</v>
      </c>
      <c r="B12" s="253"/>
      <c r="C12" s="254"/>
      <c r="D12" s="255"/>
      <c r="E12" s="256"/>
      <c r="F12" s="257">
        <f>Film!$D$210</f>
        <v>80.03111506849315</v>
      </c>
      <c r="G12" s="258">
        <f>'SD Cards'!$D$63</f>
        <v>73.941791095890409</v>
      </c>
      <c r="H12" s="259"/>
      <c r="I12" s="260"/>
      <c r="J12" s="243"/>
    </row>
    <row r="13" spans="1:12">
      <c r="A13" s="250" t="s">
        <v>11</v>
      </c>
      <c r="B13" s="251">
        <f>Film!$D$258</f>
        <v>2763.2817133443159</v>
      </c>
      <c r="C13" s="254"/>
      <c r="D13" s="261">
        <f>Film!$D$259</f>
        <v>942.68727388806133</v>
      </c>
      <c r="E13" s="256"/>
      <c r="F13" s="252">
        <f>Film!$D$260</f>
        <v>106.22629324546952</v>
      </c>
      <c r="G13" s="262"/>
      <c r="H13" s="251">
        <f>Film!$D$261</f>
        <v>0.56319312870581573</v>
      </c>
      <c r="I13" s="256"/>
      <c r="J13" s="243"/>
    </row>
    <row r="14" spans="1:12">
      <c r="A14" s="263" t="s">
        <v>12</v>
      </c>
      <c r="B14" s="264">
        <f>B10+B11+B12+B13</f>
        <v>3989.7085724927933</v>
      </c>
      <c r="C14" s="265">
        <f>C10+C12+C13</f>
        <v>22.149578810759998</v>
      </c>
      <c r="D14" s="266">
        <f>D10+D11+D12+D13</f>
        <v>2761.0955524096521</v>
      </c>
      <c r="E14" s="267">
        <f>E10+E12+E13</f>
        <v>12.344123305244045</v>
      </c>
      <c r="F14" s="266">
        <f t="shared" ref="F14" si="0">F10+F11+F12+F13</f>
        <v>561.26085073941124</v>
      </c>
      <c r="G14" s="268">
        <f>G10+G12+G13</f>
        <v>164.69699942922375</v>
      </c>
      <c r="H14" s="269">
        <f>H10+H11+H12+H13</f>
        <v>2.4056139444486266</v>
      </c>
      <c r="I14" s="270">
        <f>I10+I12+I13</f>
        <v>1.6243000000000001</v>
      </c>
      <c r="J14" s="243"/>
    </row>
    <row r="15" spans="1:12">
      <c r="A15" s="283" t="s">
        <v>13</v>
      </c>
      <c r="B15" s="283"/>
      <c r="C15" s="283"/>
      <c r="D15" s="283"/>
      <c r="E15" s="283"/>
      <c r="F15" s="283"/>
      <c r="G15" s="283"/>
      <c r="H15" s="284"/>
      <c r="I15" s="284"/>
      <c r="J15" s="243"/>
    </row>
    <row r="16" spans="1:12">
      <c r="A16" s="274" t="s">
        <v>14</v>
      </c>
      <c r="B16" s="274"/>
      <c r="C16" s="274"/>
      <c r="D16" s="274"/>
      <c r="E16" s="274"/>
      <c r="F16" s="274"/>
      <c r="G16" s="274"/>
      <c r="H16" s="274"/>
      <c r="I16" s="274"/>
      <c r="J16" s="271"/>
      <c r="K16" s="54"/>
      <c r="L16" s="4"/>
    </row>
    <row r="17" spans="1:12">
      <c r="A17" s="271"/>
      <c r="B17" s="271"/>
      <c r="C17" s="271"/>
      <c r="D17" s="271"/>
      <c r="E17" s="271"/>
      <c r="F17" s="271"/>
      <c r="G17" s="271"/>
      <c r="H17" s="271"/>
      <c r="I17" s="271"/>
      <c r="J17" s="271"/>
      <c r="K17" s="54"/>
      <c r="L17" s="4"/>
    </row>
    <row r="18" spans="1:12">
      <c r="A18" s="272"/>
      <c r="B18" s="272"/>
      <c r="C18" s="272"/>
      <c r="D18" s="272"/>
      <c r="E18" s="272"/>
      <c r="F18" s="272"/>
      <c r="G18" s="272"/>
      <c r="H18" s="272"/>
      <c r="I18" s="272"/>
      <c r="J18" s="272"/>
      <c r="K18" s="4"/>
      <c r="L18" s="4"/>
    </row>
    <row r="19" spans="1:12">
      <c r="A19" s="2"/>
      <c r="B19" s="2"/>
    </row>
    <row r="20" spans="1:12">
      <c r="A20" s="2"/>
      <c r="B20" s="2"/>
    </row>
    <row r="21" spans="1:12">
      <c r="A21" s="2"/>
      <c r="B21" s="2"/>
    </row>
    <row r="22" spans="1:12">
      <c r="A22" s="2"/>
      <c r="B22" s="2"/>
    </row>
    <row r="23" spans="1:12">
      <c r="A23" s="15"/>
      <c r="B23" s="2"/>
    </row>
    <row r="24" spans="1:12">
      <c r="A24" s="2"/>
      <c r="B24" s="2"/>
    </row>
    <row r="25" spans="1:12">
      <c r="A25" s="2"/>
      <c r="B25" s="2"/>
    </row>
    <row r="26" spans="1:12">
      <c r="A26" s="2"/>
      <c r="B26" s="2"/>
    </row>
    <row r="227" spans="4:4">
      <c r="D227" s="77">
        <f>General!F12</f>
        <v>80.03111506849315</v>
      </c>
    </row>
  </sheetData>
  <sheetProtection sheet="1" objects="1" scenarios="1" selectLockedCells="1"/>
  <protectedRanges>
    <protectedRange sqref="K4" name="Range1"/>
  </protectedRanges>
  <mergeCells count="11">
    <mergeCell ref="A16:I16"/>
    <mergeCell ref="C1:I7"/>
    <mergeCell ref="B8:C8"/>
    <mergeCell ref="H8:I8"/>
    <mergeCell ref="A15:I15"/>
    <mergeCell ref="F8:G8"/>
    <mergeCell ref="D8:E8"/>
    <mergeCell ref="I10:I11"/>
    <mergeCell ref="C10:C11"/>
    <mergeCell ref="G10:G11"/>
    <mergeCell ref="E10:E11"/>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5A531-E379-46BA-9814-1212285C040C}">
  <dimension ref="A1:AB292"/>
  <sheetViews>
    <sheetView workbookViewId="0">
      <pane ySplit="1" topLeftCell="A172" activePane="bottomLeft" state="frozen"/>
      <selection pane="bottomLeft" activeCell="H12" sqref="H12"/>
    </sheetView>
  </sheetViews>
  <sheetFormatPr defaultRowHeight="15.75"/>
  <cols>
    <col min="1" max="1" width="43" customWidth="1"/>
    <col min="2" max="2" width="50.5" customWidth="1"/>
    <col min="3" max="3" width="21.5" bestFit="1" customWidth="1"/>
    <col min="4" max="4" width="13.125" bestFit="1" customWidth="1"/>
    <col min="5" max="5" width="9.25" customWidth="1"/>
    <col min="6" max="6" width="8.25" customWidth="1"/>
    <col min="7" max="7" width="8.125" customWidth="1"/>
    <col min="8" max="8" width="9.125" customWidth="1"/>
  </cols>
  <sheetData>
    <row r="1" spans="1:16" ht="31.5">
      <c r="A1" s="6" t="s">
        <v>5</v>
      </c>
      <c r="B1" s="6"/>
      <c r="C1" s="7" t="s">
        <v>15</v>
      </c>
      <c r="D1" s="7" t="s">
        <v>16</v>
      </c>
      <c r="E1" s="7" t="s">
        <v>17</v>
      </c>
      <c r="F1" s="7" t="s">
        <v>18</v>
      </c>
      <c r="G1" s="7" t="s">
        <v>19</v>
      </c>
    </row>
    <row r="2" spans="1:16" s="3" customFormat="1">
      <c r="A2" s="8" t="s">
        <v>20</v>
      </c>
      <c r="D2" s="9"/>
    </row>
    <row r="3" spans="1:16" s="3" customFormat="1">
      <c r="A3" s="45" t="s">
        <v>21</v>
      </c>
      <c r="B3" s="52" t="s">
        <v>22</v>
      </c>
      <c r="C3" s="33"/>
      <c r="D3" s="38"/>
      <c r="E3" s="34"/>
      <c r="F3" s="100" t="s">
        <v>23</v>
      </c>
      <c r="G3" s="10"/>
      <c r="I3" s="94"/>
      <c r="J3" s="94"/>
      <c r="K3" s="94"/>
      <c r="L3" s="94"/>
      <c r="M3" s="94"/>
      <c r="N3" s="94"/>
      <c r="O3" s="94"/>
      <c r="P3" s="94"/>
    </row>
    <row r="4" spans="1:16" s="3" customFormat="1">
      <c r="A4" s="25"/>
      <c r="B4" s="10" t="s">
        <v>24</v>
      </c>
      <c r="C4" s="10" t="s">
        <v>25</v>
      </c>
      <c r="D4" s="104">
        <v>23.8</v>
      </c>
      <c r="E4" s="22" t="s">
        <v>26</v>
      </c>
      <c r="F4" s="100" t="s">
        <v>23</v>
      </c>
      <c r="G4" s="10"/>
      <c r="I4"/>
      <c r="J4"/>
      <c r="K4"/>
      <c r="L4"/>
      <c r="M4"/>
      <c r="N4"/>
      <c r="O4"/>
      <c r="P4"/>
    </row>
    <row r="5" spans="1:16" s="3" customFormat="1">
      <c r="A5" s="25"/>
      <c r="B5" s="10" t="s">
        <v>27</v>
      </c>
      <c r="C5" s="10" t="s">
        <v>28</v>
      </c>
      <c r="D5" s="11">
        <f>$D$4/'Unit Conversions'!$D$3</f>
        <v>765.27331189710617</v>
      </c>
      <c r="E5" s="129" t="s">
        <v>29</v>
      </c>
      <c r="F5" s="100" t="s">
        <v>23</v>
      </c>
      <c r="G5" s="10"/>
    </row>
    <row r="6" spans="1:16" s="9" customFormat="1" ht="17.25" customHeight="1">
      <c r="A6" s="127"/>
      <c r="B6" s="11" t="s">
        <v>30</v>
      </c>
      <c r="C6" s="11" t="s">
        <v>31</v>
      </c>
      <c r="D6" s="105">
        <v>800</v>
      </c>
      <c r="E6" s="22" t="s">
        <v>26</v>
      </c>
      <c r="F6" s="100" t="s">
        <v>23</v>
      </c>
      <c r="G6" s="46"/>
    </row>
    <row r="7" spans="1:16" s="9" customFormat="1">
      <c r="A7" s="127"/>
      <c r="B7" s="11" t="s">
        <v>32</v>
      </c>
      <c r="C7" s="11" t="s">
        <v>31</v>
      </c>
      <c r="D7" s="105">
        <v>2500</v>
      </c>
      <c r="E7" s="22" t="s">
        <v>26</v>
      </c>
      <c r="F7" s="100" t="s">
        <v>23</v>
      </c>
      <c r="G7" s="46"/>
    </row>
    <row r="8" spans="1:16" s="9" customFormat="1">
      <c r="A8" s="127"/>
      <c r="B8" s="11" t="s">
        <v>33</v>
      </c>
      <c r="C8" s="11" t="s">
        <v>34</v>
      </c>
      <c r="D8" s="105">
        <f>$D$6/$D$7</f>
        <v>0.32</v>
      </c>
      <c r="E8" s="132" t="s">
        <v>29</v>
      </c>
      <c r="F8" s="100" t="s">
        <v>23</v>
      </c>
      <c r="G8" s="46"/>
    </row>
    <row r="9" spans="1:16" s="3" customFormat="1">
      <c r="A9" s="25"/>
      <c r="B9" s="10"/>
      <c r="C9" s="10"/>
      <c r="D9" s="11"/>
      <c r="E9" s="129"/>
      <c r="F9" s="100" t="s">
        <v>23</v>
      </c>
      <c r="G9" s="35"/>
    </row>
    <row r="10" spans="1:16" s="9" customFormat="1">
      <c r="A10" s="127"/>
      <c r="B10" s="36" t="s">
        <v>35</v>
      </c>
      <c r="C10" s="54"/>
      <c r="D10" s="11"/>
      <c r="E10" s="132"/>
      <c r="F10" s="100" t="s">
        <v>23</v>
      </c>
      <c r="G10" s="46"/>
    </row>
    <row r="11" spans="1:16" s="9" customFormat="1">
      <c r="A11" s="127"/>
      <c r="B11" s="11" t="s">
        <v>36</v>
      </c>
      <c r="C11" s="11" t="s">
        <v>37</v>
      </c>
      <c r="D11" s="106">
        <v>18.7</v>
      </c>
      <c r="E11" s="71" t="s">
        <v>38</v>
      </c>
      <c r="F11" s="100" t="s">
        <v>23</v>
      </c>
      <c r="G11" s="46"/>
    </row>
    <row r="12" spans="1:16" s="9" customFormat="1">
      <c r="A12" s="127"/>
      <c r="B12" s="54" t="s">
        <v>39</v>
      </c>
      <c r="C12" s="54" t="s">
        <v>40</v>
      </c>
      <c r="D12" s="105">
        <f>$D$11*'Unit Conversions'!$D$20</f>
        <v>5.1944486000000003</v>
      </c>
      <c r="E12" s="132" t="s">
        <v>29</v>
      </c>
      <c r="F12" s="100" t="s">
        <v>23</v>
      </c>
      <c r="G12" s="46"/>
    </row>
    <row r="13" spans="1:16" s="9" customFormat="1">
      <c r="A13" s="127"/>
      <c r="B13" s="11" t="s">
        <v>41</v>
      </c>
      <c r="C13" s="11" t="s">
        <v>42</v>
      </c>
      <c r="D13" s="105">
        <f>$D$12*$D$5</f>
        <v>3975.1728836012867</v>
      </c>
      <c r="E13" s="132" t="s">
        <v>29</v>
      </c>
      <c r="F13" s="100" t="s">
        <v>23</v>
      </c>
      <c r="G13" s="46"/>
    </row>
    <row r="14" spans="1:16" s="9" customFormat="1">
      <c r="A14" s="127"/>
      <c r="B14" s="11" t="s">
        <v>43</v>
      </c>
      <c r="C14" s="11" t="s">
        <v>44</v>
      </c>
      <c r="D14" s="105">
        <f>$D$13*$D$8</f>
        <v>1272.0553227524117</v>
      </c>
      <c r="E14" s="132" t="s">
        <v>29</v>
      </c>
      <c r="F14" s="100" t="s">
        <v>23</v>
      </c>
      <c r="G14" s="46"/>
    </row>
    <row r="15" spans="1:16" s="3" customFormat="1">
      <c r="A15" s="25"/>
      <c r="B15" s="2"/>
      <c r="C15" s="2"/>
      <c r="D15" s="11"/>
      <c r="E15" s="129"/>
      <c r="F15" s="100" t="s">
        <v>23</v>
      </c>
      <c r="G15" s="35"/>
    </row>
    <row r="16" spans="1:16" s="3" customFormat="1">
      <c r="A16" s="25"/>
      <c r="B16" s="15" t="s">
        <v>45</v>
      </c>
      <c r="C16" s="2"/>
      <c r="D16" s="11"/>
      <c r="E16" s="129"/>
      <c r="F16" s="100" t="s">
        <v>23</v>
      </c>
      <c r="G16" s="35"/>
    </row>
    <row r="17" spans="1:7" s="3" customFormat="1">
      <c r="A17" s="25"/>
      <c r="B17" s="2" t="s">
        <v>46</v>
      </c>
      <c r="C17" s="2" t="s">
        <v>47</v>
      </c>
      <c r="D17" s="106">
        <v>5.2600000000000001E-2</v>
      </c>
      <c r="E17" s="71" t="s">
        <v>38</v>
      </c>
      <c r="F17" s="100" t="s">
        <v>23</v>
      </c>
      <c r="G17" s="35"/>
    </row>
    <row r="18" spans="1:7" s="3" customFormat="1">
      <c r="A18" s="25"/>
      <c r="B18" s="2" t="s">
        <v>48</v>
      </c>
      <c r="C18" s="2" t="s">
        <v>49</v>
      </c>
      <c r="D18" s="105">
        <f>$D$17*'Unit Conversions'!$D$8</f>
        <v>13.895447200000001</v>
      </c>
      <c r="E18" s="129" t="s">
        <v>29</v>
      </c>
      <c r="F18" s="100" t="s">
        <v>23</v>
      </c>
      <c r="G18" s="35"/>
    </row>
    <row r="19" spans="1:7" s="3" customFormat="1">
      <c r="A19" s="25"/>
      <c r="B19" s="10" t="s">
        <v>50</v>
      </c>
      <c r="C19" s="10" t="s">
        <v>51</v>
      </c>
      <c r="D19" s="105">
        <f>$D$18*$D$5</f>
        <v>10633.814899035371</v>
      </c>
      <c r="E19" s="129" t="s">
        <v>29</v>
      </c>
      <c r="F19" s="100" t="s">
        <v>23</v>
      </c>
      <c r="G19" s="35"/>
    </row>
    <row r="20" spans="1:7" s="3" customFormat="1">
      <c r="A20" s="25"/>
      <c r="B20" s="10" t="s">
        <v>52</v>
      </c>
      <c r="C20" s="10" t="s">
        <v>51</v>
      </c>
      <c r="D20" s="11">
        <f>$D$19*$D$8</f>
        <v>3402.8207676913189</v>
      </c>
      <c r="E20" s="129" t="s">
        <v>29</v>
      </c>
      <c r="F20" s="100" t="s">
        <v>23</v>
      </c>
      <c r="G20" s="35"/>
    </row>
    <row r="21" spans="1:7" s="3" customFormat="1">
      <c r="A21" s="25"/>
      <c r="B21" s="10"/>
      <c r="C21" s="10"/>
      <c r="D21" s="11"/>
      <c r="E21" s="129"/>
      <c r="F21" s="100" t="s">
        <v>23</v>
      </c>
      <c r="G21" s="35"/>
    </row>
    <row r="22" spans="1:7" s="3" customFormat="1">
      <c r="A22" s="25"/>
      <c r="B22" s="15" t="s">
        <v>53</v>
      </c>
      <c r="C22" s="10"/>
      <c r="D22" s="11"/>
      <c r="E22" s="129"/>
      <c r="F22" s="100" t="s">
        <v>23</v>
      </c>
      <c r="G22" s="35"/>
    </row>
    <row r="23" spans="1:7" s="3" customFormat="1">
      <c r="A23" s="25"/>
      <c r="B23" s="10" t="s">
        <v>54</v>
      </c>
      <c r="C23" s="10" t="s">
        <v>55</v>
      </c>
      <c r="D23" s="106">
        <v>0.98399999999999999</v>
      </c>
      <c r="E23" s="71" t="s">
        <v>38</v>
      </c>
      <c r="F23" s="100" t="s">
        <v>23</v>
      </c>
      <c r="G23" s="35"/>
    </row>
    <row r="24" spans="1:7" s="3" customFormat="1">
      <c r="A24" s="25"/>
      <c r="B24" s="10" t="s">
        <v>56</v>
      </c>
      <c r="C24" s="10" t="s">
        <v>57</v>
      </c>
      <c r="D24" s="105">
        <f>$D$23*$D$5</f>
        <v>753.0289389067525</v>
      </c>
      <c r="E24" s="129" t="s">
        <v>29</v>
      </c>
      <c r="F24" s="100" t="s">
        <v>23</v>
      </c>
      <c r="G24" s="35"/>
    </row>
    <row r="25" spans="1:7" s="3" customFormat="1">
      <c r="A25" s="25"/>
      <c r="B25" s="10" t="s">
        <v>58</v>
      </c>
      <c r="C25" s="10" t="s">
        <v>57</v>
      </c>
      <c r="D25" s="11">
        <f>$D$24*$D$8</f>
        <v>240.96926045016082</v>
      </c>
      <c r="E25" s="129" t="s">
        <v>29</v>
      </c>
      <c r="F25" s="100" t="s">
        <v>23</v>
      </c>
      <c r="G25" s="35"/>
    </row>
    <row r="26" spans="1:7" s="3" customFormat="1">
      <c r="A26" s="25"/>
      <c r="B26" s="10"/>
      <c r="C26" s="10"/>
      <c r="D26" s="11"/>
      <c r="E26" s="129"/>
      <c r="F26" s="100" t="s">
        <v>23</v>
      </c>
      <c r="G26" s="35"/>
    </row>
    <row r="27" spans="1:7" s="3" customFormat="1">
      <c r="A27" s="25"/>
      <c r="B27" s="15" t="s">
        <v>59</v>
      </c>
      <c r="C27" s="10"/>
      <c r="D27" s="11"/>
      <c r="E27" s="22" t="s">
        <v>60</v>
      </c>
      <c r="F27" s="100" t="s">
        <v>23</v>
      </c>
      <c r="G27" s="35"/>
    </row>
    <row r="28" spans="1:7" s="3" customFormat="1">
      <c r="A28" s="25"/>
      <c r="B28" s="10" t="s">
        <v>61</v>
      </c>
      <c r="C28" s="10" t="s">
        <v>62</v>
      </c>
      <c r="D28" s="11">
        <v>1.9</v>
      </c>
      <c r="E28" s="22" t="s">
        <v>63</v>
      </c>
      <c r="F28" s="100" t="s">
        <v>23</v>
      </c>
      <c r="G28" s="35"/>
    </row>
    <row r="29" spans="1:7" s="3" customFormat="1">
      <c r="A29" s="25"/>
      <c r="B29" s="10" t="s">
        <v>64</v>
      </c>
      <c r="C29" s="10" t="s">
        <v>65</v>
      </c>
      <c r="D29" s="11">
        <f>$D$28*'Unit Conversions'!$D$7</f>
        <v>1723.6514999999997</v>
      </c>
      <c r="E29" s="129" t="s">
        <v>29</v>
      </c>
      <c r="F29" s="100" t="s">
        <v>23</v>
      </c>
      <c r="G29" s="35"/>
    </row>
    <row r="30" spans="1:7" s="3" customFormat="1">
      <c r="A30" s="25"/>
      <c r="B30" s="10" t="s">
        <v>66</v>
      </c>
      <c r="C30" s="10" t="s">
        <v>67</v>
      </c>
      <c r="D30" s="11">
        <v>838658</v>
      </c>
      <c r="E30" s="22" t="s">
        <v>68</v>
      </c>
      <c r="F30" s="100" t="s">
        <v>23</v>
      </c>
      <c r="G30" s="35"/>
    </row>
    <row r="31" spans="1:7" s="3" customFormat="1">
      <c r="A31" s="25"/>
      <c r="B31" s="10" t="s">
        <v>69</v>
      </c>
      <c r="C31" s="10" t="s">
        <v>31</v>
      </c>
      <c r="D31" s="11">
        <v>4737</v>
      </c>
      <c r="E31" s="22" t="s">
        <v>68</v>
      </c>
      <c r="F31" s="100" t="s">
        <v>23</v>
      </c>
      <c r="G31" s="35"/>
    </row>
    <row r="32" spans="1:7" s="3" customFormat="1">
      <c r="A32" s="25"/>
      <c r="B32" s="10" t="s">
        <v>70</v>
      </c>
      <c r="C32" s="10" t="s">
        <v>31</v>
      </c>
      <c r="D32" s="107">
        <v>2560</v>
      </c>
      <c r="E32" s="22" t="s">
        <v>68</v>
      </c>
      <c r="F32" s="100" t="s">
        <v>23</v>
      </c>
      <c r="G32" s="35"/>
    </row>
    <row r="33" spans="1:7" s="3" customFormat="1">
      <c r="A33" s="25"/>
      <c r="B33" s="10" t="s">
        <v>71</v>
      </c>
      <c r="C33" s="10" t="s">
        <v>67</v>
      </c>
      <c r="D33" s="107">
        <f>$D$30+(($D$31+$D$32)*'Unit Conversions'!$D$11)</f>
        <v>234342658</v>
      </c>
      <c r="E33" s="129" t="s">
        <v>29</v>
      </c>
      <c r="F33" s="100" t="s">
        <v>23</v>
      </c>
      <c r="G33" s="35"/>
    </row>
    <row r="34" spans="1:7" s="3" customFormat="1">
      <c r="A34" s="25"/>
      <c r="B34" s="10" t="s">
        <v>72</v>
      </c>
      <c r="C34" s="10" t="s">
        <v>73</v>
      </c>
      <c r="D34" s="108">
        <f>D30/D33</f>
        <v>3.5787679765926354E-3</v>
      </c>
      <c r="E34" s="129" t="s">
        <v>29</v>
      </c>
      <c r="F34" s="100" t="s">
        <v>23</v>
      </c>
      <c r="G34" s="35"/>
    </row>
    <row r="35" spans="1:7" s="3" customFormat="1">
      <c r="A35" s="25"/>
      <c r="B35" s="10" t="s">
        <v>74</v>
      </c>
      <c r="C35" s="10" t="s">
        <v>65</v>
      </c>
      <c r="D35" s="108">
        <f>D29*D34</f>
        <v>6.1685487910058594</v>
      </c>
      <c r="E35" s="129" t="s">
        <v>29</v>
      </c>
      <c r="F35" s="100" t="s">
        <v>23</v>
      </c>
      <c r="G35" s="35"/>
    </row>
    <row r="36" spans="1:7" s="3" customFormat="1">
      <c r="A36" s="25"/>
      <c r="B36" s="10" t="s">
        <v>75</v>
      </c>
      <c r="C36" s="10" t="s">
        <v>65</v>
      </c>
      <c r="D36" s="109">
        <f>$D$30*'Unit Conversions'!$D$12</f>
        <v>23775.534971000001</v>
      </c>
      <c r="E36" s="129" t="s">
        <v>29</v>
      </c>
      <c r="F36" s="100" t="s">
        <v>23</v>
      </c>
      <c r="G36" s="35"/>
    </row>
    <row r="37" spans="1:7" s="3" customFormat="1">
      <c r="A37" s="25"/>
      <c r="B37" s="10" t="s">
        <v>76</v>
      </c>
      <c r="C37" s="10" t="s">
        <v>77</v>
      </c>
      <c r="D37" s="11">
        <f>D35/D36</f>
        <v>2.5944942137074486E-4</v>
      </c>
      <c r="E37" s="129" t="s">
        <v>29</v>
      </c>
      <c r="F37" s="100"/>
      <c r="G37" s="35"/>
    </row>
    <row r="38" spans="1:7" s="3" customFormat="1">
      <c r="A38" s="25"/>
      <c r="B38" s="10" t="s">
        <v>78</v>
      </c>
      <c r="C38" s="10" t="s">
        <v>77</v>
      </c>
      <c r="D38" s="11">
        <f>$D$37*$D$8</f>
        <v>8.3023814838638357E-5</v>
      </c>
      <c r="E38" s="129" t="s">
        <v>29</v>
      </c>
      <c r="F38" s="100"/>
      <c r="G38" s="35"/>
    </row>
    <row r="39" spans="1:7" s="3" customFormat="1">
      <c r="A39" s="45" t="s">
        <v>79</v>
      </c>
      <c r="B39" s="33"/>
      <c r="C39" s="33"/>
      <c r="D39" s="38"/>
      <c r="E39" s="223"/>
      <c r="F39" s="10"/>
      <c r="G39" s="99" t="s">
        <v>23</v>
      </c>
    </row>
    <row r="40" spans="1:7" s="3" customFormat="1">
      <c r="A40" s="25"/>
      <c r="B40" s="10" t="s">
        <v>80</v>
      </c>
      <c r="C40" s="10" t="s">
        <v>81</v>
      </c>
      <c r="D40" s="11">
        <v>9300000000</v>
      </c>
      <c r="E40" s="22" t="s">
        <v>82</v>
      </c>
      <c r="F40" s="13"/>
      <c r="G40" s="99" t="s">
        <v>23</v>
      </c>
    </row>
    <row r="41" spans="1:7" s="3" customFormat="1">
      <c r="A41" s="25"/>
      <c r="B41" s="10"/>
      <c r="C41" s="10"/>
      <c r="D41" s="11"/>
      <c r="E41" s="22"/>
      <c r="F41" s="13"/>
      <c r="G41" s="99" t="s">
        <v>23</v>
      </c>
    </row>
    <row r="42" spans="1:7" s="3" customFormat="1">
      <c r="A42" s="25"/>
      <c r="B42" s="15" t="s">
        <v>83</v>
      </c>
      <c r="C42" s="10" t="s">
        <v>84</v>
      </c>
      <c r="D42" s="11">
        <v>30173280</v>
      </c>
      <c r="E42" s="22" t="s">
        <v>82</v>
      </c>
      <c r="F42" s="13"/>
      <c r="G42" s="99" t="s">
        <v>23</v>
      </c>
    </row>
    <row r="43" spans="1:7" s="3" customFormat="1">
      <c r="A43" s="25"/>
      <c r="B43" s="10" t="s">
        <v>85</v>
      </c>
      <c r="C43" s="10" t="s">
        <v>86</v>
      </c>
      <c r="D43" s="11">
        <f>$D$42/$D$40</f>
        <v>3.2444387096774194E-3</v>
      </c>
      <c r="E43" s="22" t="s">
        <v>82</v>
      </c>
      <c r="F43" s="13"/>
      <c r="G43" s="99" t="s">
        <v>23</v>
      </c>
    </row>
    <row r="44" spans="1:7" s="3" customFormat="1">
      <c r="A44" s="25"/>
      <c r="B44" s="10" t="s">
        <v>87</v>
      </c>
      <c r="C44" s="10" t="s">
        <v>88</v>
      </c>
      <c r="D44" s="11">
        <f>$D$43*'Unit Conversions'!$D$18</f>
        <v>3.2444387096774192</v>
      </c>
      <c r="E44" s="129" t="s">
        <v>29</v>
      </c>
      <c r="F44" s="13"/>
      <c r="G44" s="99" t="s">
        <v>23</v>
      </c>
    </row>
    <row r="45" spans="1:7" s="3" customFormat="1">
      <c r="A45" s="25"/>
      <c r="B45" s="10"/>
      <c r="C45" s="10"/>
      <c r="D45" s="11"/>
      <c r="E45" s="129"/>
      <c r="F45" s="13"/>
      <c r="G45" s="99" t="s">
        <v>23</v>
      </c>
    </row>
    <row r="46" spans="1:7" s="3" customFormat="1">
      <c r="A46" s="25"/>
      <c r="B46" s="15" t="s">
        <v>89</v>
      </c>
      <c r="C46" s="10" t="s">
        <v>90</v>
      </c>
      <c r="D46" s="11">
        <v>19555</v>
      </c>
      <c r="E46" s="22" t="s">
        <v>82</v>
      </c>
      <c r="F46" s="13"/>
      <c r="G46" s="99" t="s">
        <v>23</v>
      </c>
    </row>
    <row r="47" spans="1:7" s="3" customFormat="1">
      <c r="A47" s="25"/>
      <c r="B47" s="10" t="s">
        <v>91</v>
      </c>
      <c r="C47" s="10" t="s">
        <v>92</v>
      </c>
      <c r="D47" s="11">
        <f>$D$46/$D$40</f>
        <v>2.1026881720430107E-6</v>
      </c>
      <c r="E47" s="22" t="s">
        <v>82</v>
      </c>
      <c r="F47" s="13"/>
      <c r="G47" s="99" t="s">
        <v>23</v>
      </c>
    </row>
    <row r="48" spans="1:7" s="3" customFormat="1">
      <c r="A48" s="25"/>
      <c r="B48" s="10" t="s">
        <v>93</v>
      </c>
      <c r="C48" s="10" t="s">
        <v>49</v>
      </c>
      <c r="D48" s="11">
        <f>$D$47*'Unit Conversions'!$D$4</f>
        <v>0.55547133978494623</v>
      </c>
      <c r="E48" s="129" t="s">
        <v>29</v>
      </c>
      <c r="F48" s="10"/>
      <c r="G48" s="99" t="s">
        <v>23</v>
      </c>
    </row>
    <row r="49" spans="1:7" s="3" customFormat="1">
      <c r="A49" s="25"/>
      <c r="B49" s="10"/>
      <c r="C49" s="10"/>
      <c r="D49" s="11"/>
      <c r="E49" s="53"/>
      <c r="F49" s="10"/>
      <c r="G49" s="99" t="s">
        <v>23</v>
      </c>
    </row>
    <row r="50" spans="1:7" s="3" customFormat="1">
      <c r="A50" s="25"/>
      <c r="B50" s="15" t="s">
        <v>94</v>
      </c>
      <c r="C50" s="10" t="s">
        <v>95</v>
      </c>
      <c r="D50" s="11">
        <v>6766296</v>
      </c>
      <c r="E50" s="22" t="s">
        <v>82</v>
      </c>
      <c r="F50" s="13"/>
      <c r="G50" s="99" t="s">
        <v>23</v>
      </c>
    </row>
    <row r="51" spans="1:7" s="3" customFormat="1" ht="17.25" customHeight="1">
      <c r="A51" s="25"/>
      <c r="B51" s="10" t="s">
        <v>96</v>
      </c>
      <c r="C51" s="10" t="s">
        <v>97</v>
      </c>
      <c r="D51" s="11">
        <f>$D$50/$D$40</f>
        <v>7.2755870967741937E-4</v>
      </c>
      <c r="E51" s="22" t="s">
        <v>82</v>
      </c>
      <c r="F51" s="13"/>
      <c r="G51" s="99" t="s">
        <v>23</v>
      </c>
    </row>
    <row r="52" spans="1:7" s="3" customFormat="1">
      <c r="A52" s="25"/>
      <c r="B52" s="10" t="s">
        <v>98</v>
      </c>
      <c r="C52" s="10" t="s">
        <v>55</v>
      </c>
      <c r="D52" s="11">
        <f>$D$51*'Unit Conversions'!$D$5</f>
        <v>0.72755870967741942</v>
      </c>
      <c r="E52" s="129" t="s">
        <v>29</v>
      </c>
      <c r="F52" s="13"/>
      <c r="G52" s="99" t="s">
        <v>23</v>
      </c>
    </row>
    <row r="53" spans="1:7" s="3" customFormat="1">
      <c r="A53" s="25"/>
      <c r="B53" s="10"/>
      <c r="C53" s="10"/>
      <c r="D53" s="91"/>
      <c r="E53" s="129"/>
      <c r="F53" s="13"/>
      <c r="G53" s="99" t="s">
        <v>23</v>
      </c>
    </row>
    <row r="54" spans="1:7" s="3" customFormat="1">
      <c r="A54" s="25"/>
      <c r="B54" s="15" t="s">
        <v>59</v>
      </c>
      <c r="C54" s="10"/>
      <c r="D54" s="11"/>
      <c r="E54" s="129"/>
      <c r="F54" s="10"/>
      <c r="G54" s="99" t="s">
        <v>23</v>
      </c>
    </row>
    <row r="55" spans="1:7" s="3" customFormat="1">
      <c r="A55" s="25"/>
      <c r="B55" s="10" t="s">
        <v>99</v>
      </c>
      <c r="C55" s="10" t="s">
        <v>100</v>
      </c>
      <c r="D55" s="11">
        <v>7.1999999999999998E-3</v>
      </c>
      <c r="E55" s="235" t="s">
        <v>82</v>
      </c>
      <c r="F55" s="228" t="s">
        <v>63</v>
      </c>
      <c r="G55" s="99"/>
    </row>
    <row r="56" spans="1:7" s="3" customFormat="1">
      <c r="A56" s="131" t="s">
        <v>101</v>
      </c>
      <c r="B56" s="52" t="s">
        <v>22</v>
      </c>
      <c r="C56" s="33"/>
      <c r="D56" s="38"/>
      <c r="E56" s="53"/>
      <c r="F56" s="99" t="s">
        <v>23</v>
      </c>
      <c r="G56" s="99" t="s">
        <v>23</v>
      </c>
    </row>
    <row r="57" spans="1:7" s="3" customFormat="1">
      <c r="A57" s="25" t="s">
        <v>102</v>
      </c>
      <c r="B57" s="10" t="s">
        <v>103</v>
      </c>
      <c r="C57" s="10" t="s">
        <v>104</v>
      </c>
      <c r="D57" s="11">
        <v>18.12</v>
      </c>
      <c r="E57" s="22" t="s">
        <v>105</v>
      </c>
      <c r="F57" s="99" t="s">
        <v>23</v>
      </c>
      <c r="G57" s="99" t="s">
        <v>23</v>
      </c>
    </row>
    <row r="58" spans="1:7" s="3" customFormat="1">
      <c r="A58" s="25"/>
      <c r="B58" s="10"/>
      <c r="C58" s="10"/>
      <c r="D58" s="11"/>
      <c r="E58" s="53"/>
      <c r="F58" s="99" t="s">
        <v>23</v>
      </c>
      <c r="G58" s="99" t="s">
        <v>23</v>
      </c>
    </row>
    <row r="59" spans="1:7" s="3" customFormat="1">
      <c r="A59" s="25"/>
      <c r="B59" s="15" t="s">
        <v>35</v>
      </c>
      <c r="C59" s="10"/>
      <c r="D59" s="11"/>
      <c r="E59" s="53"/>
      <c r="F59" s="99" t="s">
        <v>23</v>
      </c>
      <c r="G59" s="99" t="s">
        <v>23</v>
      </c>
    </row>
    <row r="60" spans="1:7" s="3" customFormat="1">
      <c r="A60" s="25"/>
      <c r="B60" s="10" t="s">
        <v>106</v>
      </c>
      <c r="C60" s="10" t="s">
        <v>107</v>
      </c>
      <c r="D60" s="11">
        <f>$D$44*$D$57</f>
        <v>58.789229419354839</v>
      </c>
      <c r="E60" s="129" t="s">
        <v>29</v>
      </c>
      <c r="F60" s="99" t="s">
        <v>23</v>
      </c>
      <c r="G60" s="99" t="s">
        <v>23</v>
      </c>
    </row>
    <row r="61" spans="1:7" s="3" customFormat="1">
      <c r="A61" s="25"/>
      <c r="B61" s="10"/>
      <c r="C61" s="10"/>
      <c r="D61" s="11"/>
      <c r="E61" s="53"/>
      <c r="F61" s="99" t="s">
        <v>23</v>
      </c>
      <c r="G61" s="99" t="s">
        <v>23</v>
      </c>
    </row>
    <row r="62" spans="1:7" s="3" customFormat="1">
      <c r="A62" s="25"/>
      <c r="B62" s="15" t="s">
        <v>45</v>
      </c>
      <c r="C62" s="10"/>
      <c r="D62" s="11"/>
      <c r="E62" s="53"/>
      <c r="F62" s="99" t="s">
        <v>23</v>
      </c>
      <c r="G62" s="99" t="s">
        <v>23</v>
      </c>
    </row>
    <row r="63" spans="1:7" s="3" customFormat="1">
      <c r="A63" s="25"/>
      <c r="B63" s="10" t="s">
        <v>108</v>
      </c>
      <c r="C63" s="10" t="s">
        <v>109</v>
      </c>
      <c r="D63" s="11">
        <f>$D$48*$D$57</f>
        <v>10.065140676903226</v>
      </c>
      <c r="E63" s="129" t="s">
        <v>29</v>
      </c>
      <c r="F63" s="99" t="s">
        <v>23</v>
      </c>
      <c r="G63" s="99" t="s">
        <v>23</v>
      </c>
    </row>
    <row r="64" spans="1:7" s="3" customFormat="1">
      <c r="A64" s="25"/>
      <c r="B64" s="10"/>
      <c r="C64" s="10"/>
      <c r="D64" s="110"/>
      <c r="E64" s="53"/>
      <c r="F64" s="99" t="s">
        <v>23</v>
      </c>
      <c r="G64" s="99" t="s">
        <v>23</v>
      </c>
    </row>
    <row r="65" spans="1:7" s="3" customFormat="1">
      <c r="A65" s="25"/>
      <c r="B65" s="15" t="s">
        <v>53</v>
      </c>
      <c r="C65" s="10"/>
      <c r="D65" s="11"/>
      <c r="E65" s="53"/>
      <c r="F65" s="99" t="s">
        <v>23</v>
      </c>
      <c r="G65" s="99" t="s">
        <v>23</v>
      </c>
    </row>
    <row r="66" spans="1:7" s="3" customFormat="1">
      <c r="A66" s="30"/>
      <c r="B66" s="31" t="s">
        <v>110</v>
      </c>
      <c r="C66" s="31" t="s">
        <v>111</v>
      </c>
      <c r="D66" s="37">
        <f>$D$52*$D$57</f>
        <v>13.18336381935484</v>
      </c>
      <c r="E66" s="130" t="s">
        <v>29</v>
      </c>
      <c r="F66" s="99" t="s">
        <v>23</v>
      </c>
      <c r="G66" s="99" t="s">
        <v>23</v>
      </c>
    </row>
    <row r="67" spans="1:7" s="3" customFormat="1">
      <c r="A67" s="45" t="s">
        <v>112</v>
      </c>
      <c r="B67" s="52" t="s">
        <v>22</v>
      </c>
      <c r="C67" s="33"/>
      <c r="D67" s="38"/>
      <c r="E67" s="201"/>
      <c r="F67" s="10"/>
      <c r="G67" s="10"/>
    </row>
    <row r="68" spans="1:7" s="3" customFormat="1">
      <c r="A68" s="25" t="s">
        <v>113</v>
      </c>
      <c r="B68" s="10" t="s">
        <v>114</v>
      </c>
      <c r="C68" s="10" t="s">
        <v>115</v>
      </c>
      <c r="D68" s="11">
        <v>15</v>
      </c>
      <c r="E68" s="129" t="s">
        <v>116</v>
      </c>
      <c r="F68" s="10"/>
      <c r="G68" s="10"/>
    </row>
    <row r="69" spans="1:7" s="3" customFormat="1">
      <c r="A69" s="25" t="s">
        <v>102</v>
      </c>
      <c r="B69" s="10" t="s">
        <v>117</v>
      </c>
      <c r="C69" s="10" t="s">
        <v>118</v>
      </c>
      <c r="D69" s="11">
        <v>75</v>
      </c>
      <c r="E69" s="129" t="s">
        <v>116</v>
      </c>
      <c r="F69" s="10"/>
      <c r="G69" s="10"/>
    </row>
    <row r="70" spans="1:7" s="3" customFormat="1">
      <c r="A70" s="25"/>
      <c r="B70" s="10" t="s">
        <v>119</v>
      </c>
      <c r="C70" s="10" t="s">
        <v>120</v>
      </c>
      <c r="D70" s="11">
        <v>0.8</v>
      </c>
      <c r="E70" s="129" t="s">
        <v>116</v>
      </c>
      <c r="F70" s="10"/>
      <c r="G70" s="10"/>
    </row>
    <row r="71" spans="1:7" s="3" customFormat="1">
      <c r="A71" s="25"/>
      <c r="B71" s="10" t="s">
        <v>121</v>
      </c>
      <c r="C71" s="10" t="s">
        <v>122</v>
      </c>
      <c r="D71" s="11">
        <v>0.2</v>
      </c>
      <c r="E71" s="129" t="s">
        <v>116</v>
      </c>
      <c r="F71" s="10"/>
      <c r="G71" s="10"/>
    </row>
    <row r="72" spans="1:7" s="3" customFormat="1">
      <c r="A72" s="25"/>
      <c r="B72" s="10" t="s">
        <v>123</v>
      </c>
      <c r="C72" s="10" t="s">
        <v>124</v>
      </c>
      <c r="D72" s="11">
        <f>$D$68*$D$70</f>
        <v>12</v>
      </c>
      <c r="E72" s="125" t="s">
        <v>29</v>
      </c>
      <c r="F72" s="10"/>
      <c r="G72" s="10"/>
    </row>
    <row r="73" spans="1:7" s="3" customFormat="1">
      <c r="A73" s="25"/>
      <c r="B73" s="10" t="s">
        <v>125</v>
      </c>
      <c r="C73" s="10" t="s">
        <v>124</v>
      </c>
      <c r="D73" s="11">
        <f>$D$71*$D$69</f>
        <v>15</v>
      </c>
      <c r="E73" s="125" t="s">
        <v>29</v>
      </c>
      <c r="F73" s="10"/>
      <c r="G73" s="10"/>
    </row>
    <row r="74" spans="1:7" s="3" customFormat="1">
      <c r="A74" s="25"/>
      <c r="B74" s="10" t="s">
        <v>126</v>
      </c>
      <c r="C74" s="11" t="s">
        <v>127</v>
      </c>
      <c r="D74" s="11">
        <f>$D$73+$D$72</f>
        <v>27</v>
      </c>
      <c r="E74" s="125" t="s">
        <v>29</v>
      </c>
      <c r="F74" s="10"/>
      <c r="G74" s="10"/>
    </row>
    <row r="75" spans="1:7" s="3" customFormat="1">
      <c r="A75" s="25"/>
      <c r="B75" s="10"/>
      <c r="C75" s="10"/>
      <c r="D75" s="11"/>
      <c r="E75" s="53"/>
      <c r="F75" s="10"/>
      <c r="G75" s="10"/>
    </row>
    <row r="76" spans="1:7" s="3" customFormat="1">
      <c r="A76" s="25"/>
      <c r="B76" s="15" t="s">
        <v>35</v>
      </c>
      <c r="C76" s="2"/>
      <c r="D76" s="11"/>
      <c r="E76" s="53"/>
      <c r="F76" s="10"/>
      <c r="G76" s="10"/>
    </row>
    <row r="77" spans="1:7" s="1" customFormat="1">
      <c r="A77" s="28"/>
      <c r="B77" s="10" t="s">
        <v>128</v>
      </c>
      <c r="C77" s="10" t="s">
        <v>107</v>
      </c>
      <c r="D77" s="11">
        <f>$D$44*$D$74</f>
        <v>87.599845161290318</v>
      </c>
      <c r="E77" s="129" t="s">
        <v>29</v>
      </c>
      <c r="F77" s="15"/>
      <c r="G77" s="15"/>
    </row>
    <row r="78" spans="1:7" s="3" customFormat="1">
      <c r="A78" s="25"/>
      <c r="B78" s="2"/>
      <c r="C78" s="2"/>
      <c r="D78" s="110"/>
      <c r="E78" s="129"/>
      <c r="F78" s="10"/>
      <c r="G78" s="10"/>
    </row>
    <row r="79" spans="1:7" s="3" customFormat="1">
      <c r="A79" s="25"/>
      <c r="B79" s="15" t="s">
        <v>45</v>
      </c>
      <c r="C79" s="2"/>
      <c r="D79" s="11"/>
      <c r="E79" s="129"/>
      <c r="F79" s="10"/>
      <c r="G79" s="10"/>
    </row>
    <row r="80" spans="1:7" s="1" customFormat="1">
      <c r="A80" s="28"/>
      <c r="B80" s="10" t="s">
        <v>129</v>
      </c>
      <c r="C80" s="10" t="s">
        <v>109</v>
      </c>
      <c r="D80" s="11">
        <f>$D$48*$D$74</f>
        <v>14.997726174193549</v>
      </c>
      <c r="E80" s="129" t="s">
        <v>29</v>
      </c>
      <c r="F80" s="15"/>
      <c r="G80" s="15"/>
    </row>
    <row r="81" spans="1:8" s="3" customFormat="1">
      <c r="A81" s="25"/>
      <c r="B81" s="10"/>
      <c r="C81" s="2"/>
      <c r="D81" s="110"/>
      <c r="E81" s="129"/>
      <c r="F81" s="10"/>
      <c r="G81" s="10"/>
    </row>
    <row r="82" spans="1:8" s="3" customFormat="1">
      <c r="A82" s="25"/>
      <c r="B82" s="15" t="s">
        <v>53</v>
      </c>
      <c r="C82" s="10"/>
      <c r="D82" s="11"/>
      <c r="E82" s="129"/>
      <c r="F82" s="10"/>
      <c r="G82" s="10"/>
    </row>
    <row r="83" spans="1:8" s="1" customFormat="1">
      <c r="A83" s="67"/>
      <c r="B83" s="10" t="s">
        <v>130</v>
      </c>
      <c r="C83" s="10" t="s">
        <v>111</v>
      </c>
      <c r="D83" s="11">
        <f>$D$52*$D$74</f>
        <v>19.644085161290324</v>
      </c>
      <c r="E83" s="129" t="s">
        <v>29</v>
      </c>
      <c r="F83" s="15"/>
      <c r="G83" s="15"/>
    </row>
    <row r="84" spans="1:8">
      <c r="A84" s="45" t="s">
        <v>131</v>
      </c>
      <c r="B84" s="33" t="s">
        <v>132</v>
      </c>
      <c r="C84" s="33" t="s">
        <v>133</v>
      </c>
      <c r="D84" s="38">
        <v>35</v>
      </c>
      <c r="E84" s="34" t="s">
        <v>116</v>
      </c>
      <c r="F84" s="10"/>
      <c r="G84" s="99" t="s">
        <v>23</v>
      </c>
      <c r="H84" s="3"/>
    </row>
    <row r="85" spans="1:8">
      <c r="A85" s="21"/>
      <c r="B85" s="10" t="s">
        <v>134</v>
      </c>
      <c r="C85" s="10" t="s">
        <v>135</v>
      </c>
      <c r="D85" s="11">
        <v>1000</v>
      </c>
      <c r="E85" s="27" t="s">
        <v>116</v>
      </c>
      <c r="F85" s="10"/>
      <c r="G85" s="99" t="s">
        <v>23</v>
      </c>
      <c r="H85" s="3"/>
    </row>
    <row r="86" spans="1:8">
      <c r="A86" s="66"/>
      <c r="B86" s="31" t="s">
        <v>136</v>
      </c>
      <c r="C86" s="31" t="s">
        <v>137</v>
      </c>
      <c r="D86" s="37">
        <f>$D$85*'Unit Conversions'!$D$23</f>
        <v>304.8</v>
      </c>
      <c r="E86" s="32" t="s">
        <v>29</v>
      </c>
      <c r="F86" s="10"/>
      <c r="G86" s="99" t="s">
        <v>23</v>
      </c>
      <c r="H86" s="3"/>
    </row>
    <row r="87" spans="1:8">
      <c r="A87" s="21"/>
      <c r="B87" s="10" t="s">
        <v>138</v>
      </c>
      <c r="C87" s="10" t="s">
        <v>139</v>
      </c>
      <c r="D87" s="11">
        <f>$D$86*$D$84*'Unit Conversions'!$D$24</f>
        <v>10.668000000000001</v>
      </c>
      <c r="E87" s="10" t="s">
        <v>29</v>
      </c>
      <c r="F87" s="25"/>
      <c r="G87" s="99" t="s">
        <v>23</v>
      </c>
      <c r="H87" s="3"/>
    </row>
    <row r="88" spans="1:8">
      <c r="A88" s="21"/>
      <c r="B88" s="10" t="s">
        <v>140</v>
      </c>
      <c r="C88" s="10" t="s">
        <v>141</v>
      </c>
      <c r="D88" s="11">
        <v>100</v>
      </c>
      <c r="E88" s="10" t="s">
        <v>116</v>
      </c>
      <c r="F88" s="25"/>
      <c r="G88" s="99" t="s">
        <v>23</v>
      </c>
      <c r="H88" s="3"/>
    </row>
    <row r="89" spans="1:8">
      <c r="A89" s="21"/>
      <c r="B89" s="10" t="s">
        <v>142</v>
      </c>
      <c r="C89" s="10" t="s">
        <v>143</v>
      </c>
      <c r="D89" s="11">
        <f>$D$87*$D$88*'Unit Conversions'!$D$25</f>
        <v>1.0668000000000001E-3</v>
      </c>
      <c r="E89" s="10" t="s">
        <v>29</v>
      </c>
      <c r="F89" s="25"/>
      <c r="G89" s="99" t="s">
        <v>23</v>
      </c>
      <c r="H89" s="3"/>
    </row>
    <row r="90" spans="1:8">
      <c r="A90" s="21"/>
      <c r="B90" s="10" t="s">
        <v>144</v>
      </c>
      <c r="C90" s="10" t="s">
        <v>145</v>
      </c>
      <c r="D90" s="11">
        <v>1000</v>
      </c>
      <c r="E90" s="10" t="s">
        <v>116</v>
      </c>
      <c r="F90" s="25"/>
      <c r="G90" s="99" t="s">
        <v>23</v>
      </c>
      <c r="H90" s="3"/>
    </row>
    <row r="91" spans="1:8">
      <c r="A91" s="21"/>
      <c r="B91" s="10" t="s">
        <v>146</v>
      </c>
      <c r="C91" s="10" t="s">
        <v>65</v>
      </c>
      <c r="D91" s="11">
        <f>$D$90*$D$89</f>
        <v>1.0668000000000002</v>
      </c>
      <c r="E91" s="10" t="s">
        <v>29</v>
      </c>
      <c r="F91" s="25"/>
      <c r="G91" s="99" t="s">
        <v>23</v>
      </c>
      <c r="H91" s="3"/>
    </row>
    <row r="92" spans="1:8">
      <c r="A92" s="21"/>
      <c r="B92" s="10" t="s">
        <v>147</v>
      </c>
      <c r="C92" s="10" t="s">
        <v>141</v>
      </c>
      <c r="D92" s="11">
        <v>10</v>
      </c>
      <c r="E92" s="10" t="s">
        <v>116</v>
      </c>
      <c r="F92" s="25"/>
      <c r="G92" s="99" t="s">
        <v>23</v>
      </c>
      <c r="H92" s="3"/>
    </row>
    <row r="93" spans="1:8">
      <c r="A93" s="21"/>
      <c r="B93" s="10" t="s">
        <v>148</v>
      </c>
      <c r="C93" s="10" t="s">
        <v>143</v>
      </c>
      <c r="D93" s="11">
        <f>$D$87*$D$92*'Unit Conversions'!$D$25</f>
        <v>1.0668E-4</v>
      </c>
      <c r="E93" s="10" t="s">
        <v>29</v>
      </c>
      <c r="F93" s="30"/>
      <c r="G93" s="99" t="s">
        <v>23</v>
      </c>
      <c r="H93" s="3"/>
    </row>
    <row r="94" spans="1:8">
      <c r="A94" s="21"/>
      <c r="B94" s="10" t="s">
        <v>149</v>
      </c>
      <c r="C94" s="10" t="s">
        <v>150</v>
      </c>
      <c r="D94" s="11">
        <v>1.3</v>
      </c>
      <c r="E94" s="5" t="s">
        <v>151</v>
      </c>
      <c r="F94" s="10" t="s">
        <v>116</v>
      </c>
      <c r="G94" s="113" t="s">
        <v>23</v>
      </c>
      <c r="H94" s="3"/>
    </row>
    <row r="95" spans="1:8">
      <c r="A95" s="21"/>
      <c r="B95" s="10" t="s">
        <v>152</v>
      </c>
      <c r="C95" s="10" t="s">
        <v>145</v>
      </c>
      <c r="D95" s="11">
        <f>$D$94*'Unit Conversions'!$D$29</f>
        <v>1300</v>
      </c>
      <c r="E95" s="10" t="s">
        <v>29</v>
      </c>
      <c r="F95" s="18"/>
      <c r="G95" s="99" t="s">
        <v>23</v>
      </c>
      <c r="H95" s="3"/>
    </row>
    <row r="96" spans="1:8">
      <c r="A96" s="21"/>
      <c r="B96" s="10" t="s">
        <v>153</v>
      </c>
      <c r="C96" s="10" t="s">
        <v>65</v>
      </c>
      <c r="D96" s="11">
        <f>$D$95*$D$93</f>
        <v>0.138684</v>
      </c>
      <c r="E96" s="10" t="s">
        <v>29</v>
      </c>
      <c r="F96" s="25"/>
      <c r="G96" s="99" t="s">
        <v>23</v>
      </c>
      <c r="H96" s="3"/>
    </row>
    <row r="97" spans="1:8">
      <c r="A97" s="21"/>
      <c r="B97" s="10" t="s">
        <v>154</v>
      </c>
      <c r="C97" s="10" t="s">
        <v>155</v>
      </c>
      <c r="D97" s="11">
        <v>600</v>
      </c>
      <c r="E97" s="10" t="s">
        <v>116</v>
      </c>
      <c r="F97" s="25"/>
      <c r="G97" s="99" t="s">
        <v>23</v>
      </c>
      <c r="H97" s="3"/>
    </row>
    <row r="98" spans="1:8">
      <c r="A98" s="21"/>
      <c r="B98" s="10" t="s">
        <v>156</v>
      </c>
      <c r="C98" s="10" t="s">
        <v>157</v>
      </c>
      <c r="D98" s="11">
        <f>$D$97/'Unit Conversions'!$D$32*'Unit Conversions'!$D$6</f>
        <v>6.6666666666666671E-3</v>
      </c>
      <c r="E98" s="10" t="s">
        <v>29</v>
      </c>
      <c r="F98" s="25"/>
      <c r="G98" s="99" t="s">
        <v>23</v>
      </c>
      <c r="H98" s="3"/>
    </row>
    <row r="99" spans="1:8">
      <c r="A99" s="21"/>
      <c r="B99" s="10" t="s">
        <v>158</v>
      </c>
      <c r="C99" s="10" t="s">
        <v>65</v>
      </c>
      <c r="D99" s="11">
        <f>$D$98*$D$87</f>
        <v>7.1120000000000017E-2</v>
      </c>
      <c r="E99" s="10" t="s">
        <v>29</v>
      </c>
      <c r="F99" s="25"/>
      <c r="G99" s="99" t="s">
        <v>23</v>
      </c>
      <c r="H99" s="3"/>
    </row>
    <row r="100" spans="1:8">
      <c r="A100" s="21"/>
      <c r="B100" s="10" t="s">
        <v>159</v>
      </c>
      <c r="C100" s="10" t="s">
        <v>65</v>
      </c>
      <c r="D100" s="11">
        <f>$D$99+$D$96+$D$91</f>
        <v>1.2766040000000003</v>
      </c>
      <c r="E100" s="10" t="s">
        <v>29</v>
      </c>
      <c r="F100" s="25"/>
      <c r="G100" s="99" t="s">
        <v>23</v>
      </c>
      <c r="H100" s="3"/>
    </row>
    <row r="101" spans="1:8">
      <c r="A101" s="21"/>
      <c r="B101" s="10" t="s">
        <v>160</v>
      </c>
      <c r="C101" s="10" t="s">
        <v>161</v>
      </c>
      <c r="D101" s="11">
        <f>$D$100/1000</f>
        <v>1.2766040000000002E-3</v>
      </c>
      <c r="E101" s="10" t="s">
        <v>29</v>
      </c>
      <c r="F101" s="25"/>
      <c r="G101" s="99" t="s">
        <v>23</v>
      </c>
      <c r="H101" s="3"/>
    </row>
    <row r="102" spans="1:8">
      <c r="A102" s="21"/>
      <c r="B102" s="10" t="s">
        <v>162</v>
      </c>
      <c r="C102" s="10" t="s">
        <v>163</v>
      </c>
      <c r="D102" s="11">
        <f>$D$91/$D$100</f>
        <v>0.83565459610027848</v>
      </c>
      <c r="E102" s="10" t="s">
        <v>29</v>
      </c>
      <c r="F102" s="25"/>
      <c r="G102" s="99" t="s">
        <v>23</v>
      </c>
      <c r="H102" s="3"/>
    </row>
    <row r="103" spans="1:8">
      <c r="A103" s="21"/>
      <c r="B103" s="10" t="s">
        <v>164</v>
      </c>
      <c r="C103" s="10" t="s">
        <v>165</v>
      </c>
      <c r="D103" s="11">
        <f>$D$96/$D$100</f>
        <v>0.10863509749303618</v>
      </c>
      <c r="E103" s="10" t="s">
        <v>29</v>
      </c>
      <c r="F103" s="25"/>
      <c r="G103" s="99" t="s">
        <v>23</v>
      </c>
      <c r="H103" s="3"/>
    </row>
    <row r="104" spans="1:8">
      <c r="A104" s="66"/>
      <c r="B104" s="31" t="s">
        <v>166</v>
      </c>
      <c r="C104" s="31" t="s">
        <v>167</v>
      </c>
      <c r="D104" s="37">
        <f>$D$99/$D$100</f>
        <v>5.5710306406685235E-2</v>
      </c>
      <c r="E104" s="31" t="s">
        <v>29</v>
      </c>
      <c r="F104" s="25"/>
      <c r="G104" s="99" t="s">
        <v>23</v>
      </c>
      <c r="H104" s="3"/>
    </row>
    <row r="105" spans="1:8">
      <c r="A105" s="45" t="s">
        <v>168</v>
      </c>
      <c r="B105" s="33" t="s">
        <v>169</v>
      </c>
      <c r="C105" s="33" t="s">
        <v>170</v>
      </c>
      <c r="D105" s="38">
        <f>$D$60*$D$102</f>
        <v>49.127489765477577</v>
      </c>
      <c r="E105" s="34" t="s">
        <v>29</v>
      </c>
      <c r="F105" s="10"/>
      <c r="G105" s="10"/>
      <c r="H105" s="3"/>
    </row>
    <row r="106" spans="1:8">
      <c r="A106" s="21"/>
      <c r="B106" s="10" t="s">
        <v>171</v>
      </c>
      <c r="C106" s="10" t="s">
        <v>172</v>
      </c>
      <c r="D106" s="11">
        <f>$D$63*$D$102</f>
        <v>8.4109810670500487</v>
      </c>
      <c r="E106" s="27" t="s">
        <v>29</v>
      </c>
      <c r="F106" s="10"/>
      <c r="G106" s="10"/>
      <c r="H106" s="3"/>
    </row>
    <row r="107" spans="1:8">
      <c r="A107" s="21"/>
      <c r="B107" s="10" t="s">
        <v>173</v>
      </c>
      <c r="C107" s="10" t="s">
        <v>174</v>
      </c>
      <c r="D107" s="11">
        <f>$D$66*$D$102</f>
        <v>11.016738567705993</v>
      </c>
      <c r="E107" s="27" t="s">
        <v>29</v>
      </c>
      <c r="F107" s="10"/>
      <c r="G107" s="10"/>
      <c r="H107" s="3"/>
    </row>
    <row r="108" spans="1:8">
      <c r="A108" s="21"/>
      <c r="B108" s="10" t="s">
        <v>175</v>
      </c>
      <c r="C108" s="10" t="s">
        <v>174</v>
      </c>
      <c r="D108" s="11">
        <f>$D$55*$D$102</f>
        <v>6.0167130919220047E-3</v>
      </c>
      <c r="E108" s="27" t="s">
        <v>29</v>
      </c>
      <c r="F108" s="10"/>
      <c r="G108" s="10"/>
      <c r="H108" s="3"/>
    </row>
    <row r="109" spans="1:8">
      <c r="A109" s="21"/>
      <c r="B109" s="10"/>
      <c r="C109" s="10"/>
      <c r="D109" s="11"/>
      <c r="E109" s="27"/>
      <c r="F109" s="10"/>
      <c r="G109" s="10"/>
      <c r="H109" s="3"/>
    </row>
    <row r="110" spans="1:8">
      <c r="A110" s="72" t="s">
        <v>176</v>
      </c>
      <c r="B110" s="10" t="s">
        <v>169</v>
      </c>
      <c r="C110" s="11" t="s">
        <v>170</v>
      </c>
      <c r="D110" s="11">
        <f>$D$77*$D$103</f>
        <v>9.5164177194716473</v>
      </c>
      <c r="E110" s="27" t="s">
        <v>29</v>
      </c>
      <c r="F110" s="10"/>
      <c r="G110" s="10"/>
      <c r="H110" s="3"/>
    </row>
    <row r="111" spans="1:8">
      <c r="A111" s="128"/>
      <c r="B111" s="10" t="s">
        <v>171</v>
      </c>
      <c r="C111" s="11" t="s">
        <v>172</v>
      </c>
      <c r="D111" s="11">
        <f>$D$80*$D$103</f>
        <v>1.6292794451073767</v>
      </c>
      <c r="E111" s="27" t="s">
        <v>29</v>
      </c>
      <c r="F111" s="10"/>
      <c r="G111" s="10"/>
      <c r="H111" s="3"/>
    </row>
    <row r="112" spans="1:8">
      <c r="A112" s="128"/>
      <c r="B112" s="10" t="s">
        <v>173</v>
      </c>
      <c r="C112" s="11" t="s">
        <v>174</v>
      </c>
      <c r="D112" s="11">
        <f>$D$83*$D$103</f>
        <v>2.1340371066582797</v>
      </c>
      <c r="E112" s="27" t="s">
        <v>29</v>
      </c>
      <c r="F112" s="10"/>
      <c r="G112" s="10"/>
      <c r="H112" s="3"/>
    </row>
    <row r="113" spans="1:8">
      <c r="A113" s="72"/>
      <c r="B113" s="10" t="s">
        <v>175</v>
      </c>
      <c r="C113" s="11" t="s">
        <v>174</v>
      </c>
      <c r="D113" s="11">
        <f>$D$55*$D$103</f>
        <v>7.8217270194986047E-4</v>
      </c>
      <c r="E113" s="27" t="s">
        <v>29</v>
      </c>
      <c r="F113" s="10"/>
      <c r="G113" s="10"/>
      <c r="H113" s="3"/>
    </row>
    <row r="114" spans="1:8">
      <c r="A114" s="21"/>
      <c r="B114" s="10"/>
      <c r="C114" s="10"/>
      <c r="D114" s="11"/>
      <c r="E114" s="27"/>
      <c r="F114" s="10"/>
      <c r="G114" s="10"/>
      <c r="H114" s="3"/>
    </row>
    <row r="115" spans="1:8">
      <c r="A115" s="21" t="s">
        <v>177</v>
      </c>
      <c r="B115" s="10" t="s">
        <v>169</v>
      </c>
      <c r="C115" s="10" t="s">
        <v>170</v>
      </c>
      <c r="D115" s="111">
        <f>$D$14*$D$104</f>
        <v>70.866591796791738</v>
      </c>
      <c r="E115" s="27" t="s">
        <v>29</v>
      </c>
      <c r="F115" s="10"/>
      <c r="G115" s="10"/>
      <c r="H115" s="3"/>
    </row>
    <row r="116" spans="1:8">
      <c r="A116" s="21"/>
      <c r="B116" s="10" t="s">
        <v>171</v>
      </c>
      <c r="C116" s="10" t="s">
        <v>172</v>
      </c>
      <c r="D116" s="11">
        <f>$D$20*$D$104</f>
        <v>189.57218761511524</v>
      </c>
      <c r="E116" s="27" t="s">
        <v>29</v>
      </c>
      <c r="F116" s="10"/>
      <c r="G116" s="10"/>
      <c r="H116" s="3"/>
    </row>
    <row r="117" spans="1:8">
      <c r="A117" s="21"/>
      <c r="B117" s="10" t="s">
        <v>173</v>
      </c>
      <c r="C117" s="10" t="s">
        <v>174</v>
      </c>
      <c r="D117" s="11">
        <f>$D$25*$D$104</f>
        <v>13.424471334270796</v>
      </c>
      <c r="E117" s="27" t="s">
        <v>29</v>
      </c>
      <c r="F117" s="10"/>
      <c r="G117" s="10"/>
      <c r="H117" s="3"/>
    </row>
    <row r="118" spans="1:8">
      <c r="A118" s="21"/>
      <c r="B118" s="10" t="s">
        <v>175</v>
      </c>
      <c r="C118" s="10" t="s">
        <v>174</v>
      </c>
      <c r="D118" s="112">
        <f>$D$104*$D$38</f>
        <v>4.625282163712443E-6</v>
      </c>
      <c r="E118" s="27" t="s">
        <v>29</v>
      </c>
      <c r="F118" s="10"/>
      <c r="G118" s="10"/>
      <c r="H118" s="3"/>
    </row>
    <row r="119" spans="1:8">
      <c r="A119" s="134" t="s">
        <v>178</v>
      </c>
      <c r="B119" s="135" t="s">
        <v>179</v>
      </c>
      <c r="C119" s="136" t="s">
        <v>170</v>
      </c>
      <c r="D119" s="137">
        <f>$D$105+$D$110+$D$115</f>
        <v>129.51049928174098</v>
      </c>
      <c r="E119" s="138" t="s">
        <v>29</v>
      </c>
      <c r="F119" s="10"/>
      <c r="G119" s="10"/>
      <c r="H119" s="3"/>
    </row>
    <row r="120" spans="1:8">
      <c r="A120" s="75"/>
      <c r="B120" s="2" t="s">
        <v>180</v>
      </c>
      <c r="C120" s="10" t="s">
        <v>172</v>
      </c>
      <c r="D120" s="11">
        <f>$D$106+$D$111+$D$116</f>
        <v>199.61244812727267</v>
      </c>
      <c r="E120" s="27" t="s">
        <v>29</v>
      </c>
      <c r="F120" s="10"/>
      <c r="G120" s="10"/>
      <c r="H120" s="3"/>
    </row>
    <row r="121" spans="1:8">
      <c r="A121" s="21"/>
      <c r="B121" s="2" t="s">
        <v>181</v>
      </c>
      <c r="C121" s="10" t="s">
        <v>174</v>
      </c>
      <c r="D121" s="11">
        <f>$D$107+$D$112+$D$117</f>
        <v>26.575247008635067</v>
      </c>
      <c r="E121" s="27" t="s">
        <v>29</v>
      </c>
      <c r="F121" s="10"/>
      <c r="G121" s="10"/>
      <c r="H121" s="3"/>
    </row>
    <row r="122" spans="1:8">
      <c r="A122" s="21"/>
      <c r="B122" s="2" t="s">
        <v>182</v>
      </c>
      <c r="C122" s="10" t="s">
        <v>174</v>
      </c>
      <c r="D122" s="111">
        <f>$D$108+$D$113+$D$118</f>
        <v>6.8035110760355779E-3</v>
      </c>
      <c r="E122" s="27" t="s">
        <v>29</v>
      </c>
      <c r="F122" s="10"/>
      <c r="G122" s="10"/>
      <c r="H122" s="3"/>
    </row>
    <row r="123" spans="1:8">
      <c r="A123" s="21"/>
      <c r="B123" s="10"/>
      <c r="C123" s="10"/>
      <c r="D123" s="10"/>
      <c r="E123" s="27"/>
      <c r="F123" s="10"/>
      <c r="G123" s="10"/>
      <c r="H123" s="3"/>
    </row>
    <row r="124" spans="1:8" s="3" customFormat="1" ht="15.75" customHeight="1">
      <c r="A124" s="21"/>
      <c r="B124" s="119" t="s">
        <v>183</v>
      </c>
      <c r="C124" s="11"/>
      <c r="D124" s="54"/>
      <c r="E124" s="202"/>
      <c r="F124" s="10"/>
      <c r="G124" s="10"/>
    </row>
    <row r="125" spans="1:8">
      <c r="A125" s="21"/>
      <c r="B125" s="36" t="s">
        <v>179</v>
      </c>
      <c r="C125" s="36" t="s">
        <v>184</v>
      </c>
      <c r="D125" s="36">
        <f>$D$119*$D$101*'Unit Conversions'!$D$42</f>
        <v>892.80155569536555</v>
      </c>
      <c r="E125" s="27" t="s">
        <v>29</v>
      </c>
      <c r="F125" s="10"/>
      <c r="G125" s="10"/>
      <c r="H125" s="3"/>
    </row>
    <row r="126" spans="1:8">
      <c r="A126" s="21"/>
      <c r="B126" s="36" t="s">
        <v>185</v>
      </c>
      <c r="C126" s="36" t="s">
        <v>186</v>
      </c>
      <c r="D126" s="36">
        <f>$D$120*$D$101*'Unit Conversions'!$D$42</f>
        <v>1376.0606685369719</v>
      </c>
      <c r="E126" s="27" t="s">
        <v>29</v>
      </c>
      <c r="F126" s="10"/>
      <c r="G126" s="10"/>
      <c r="H126" s="3"/>
    </row>
    <row r="127" spans="1:8">
      <c r="A127" s="21"/>
      <c r="B127" s="36" t="s">
        <v>181</v>
      </c>
      <c r="C127" s="36" t="s">
        <v>187</v>
      </c>
      <c r="D127" s="36">
        <f>$D$121*$D$101*'Unit Conversions'!$D$42</f>
        <v>183.20075981394245</v>
      </c>
      <c r="E127" s="27" t="s">
        <v>29</v>
      </c>
      <c r="F127" s="10"/>
      <c r="G127" s="10"/>
      <c r="H127" s="3"/>
    </row>
    <row r="128" spans="1:8">
      <c r="A128" s="66"/>
      <c r="B128" s="70" t="s">
        <v>182</v>
      </c>
      <c r="C128" s="70" t="s">
        <v>187</v>
      </c>
      <c r="D128" s="70">
        <f>$D$122*$D$101*'Unit Conversions'!$D$42</f>
        <v>4.6901103050041151E-2</v>
      </c>
      <c r="E128" s="32" t="s">
        <v>29</v>
      </c>
      <c r="F128" s="10"/>
      <c r="G128" s="10"/>
      <c r="H128" s="3"/>
    </row>
    <row r="129" spans="1:8">
      <c r="A129" s="16"/>
      <c r="B129" s="10"/>
      <c r="C129" s="10"/>
      <c r="D129" s="10"/>
      <c r="E129" s="10"/>
      <c r="F129" s="10"/>
      <c r="G129" s="10"/>
      <c r="H129" s="3"/>
    </row>
    <row r="130" spans="1:8" s="4" customFormat="1">
      <c r="A130" s="96" t="s">
        <v>188</v>
      </c>
      <c r="B130" s="36"/>
      <c r="C130" s="36"/>
      <c r="D130" s="36"/>
      <c r="E130" s="36"/>
      <c r="F130" s="116" t="s">
        <v>23</v>
      </c>
      <c r="G130" s="36"/>
      <c r="H130" s="64"/>
    </row>
    <row r="131" spans="1:8">
      <c r="A131" s="45"/>
      <c r="B131" s="52" t="s">
        <v>189</v>
      </c>
      <c r="C131" s="52"/>
      <c r="D131" s="52"/>
      <c r="E131" s="76"/>
      <c r="F131" s="101" t="s">
        <v>23</v>
      </c>
      <c r="G131" s="15"/>
      <c r="H131" s="1"/>
    </row>
    <row r="132" spans="1:8" s="3" customFormat="1">
      <c r="A132" s="25"/>
      <c r="B132" s="10" t="s">
        <v>190</v>
      </c>
      <c r="C132" s="10" t="s">
        <v>191</v>
      </c>
      <c r="D132" s="10">
        <v>1000</v>
      </c>
      <c r="E132" s="10" t="s">
        <v>116</v>
      </c>
      <c r="F132" s="133" t="s">
        <v>23</v>
      </c>
      <c r="G132" s="10"/>
    </row>
    <row r="133" spans="1:8" s="3" customFormat="1">
      <c r="A133" s="25"/>
      <c r="B133" s="10" t="s">
        <v>192</v>
      </c>
      <c r="C133" s="10" t="s">
        <v>193</v>
      </c>
      <c r="D133" s="10">
        <v>60</v>
      </c>
      <c r="E133" s="10" t="s">
        <v>116</v>
      </c>
      <c r="F133" s="133" t="s">
        <v>23</v>
      </c>
      <c r="G133" s="10"/>
    </row>
    <row r="134" spans="1:8" s="3" customFormat="1">
      <c r="A134" s="25"/>
      <c r="B134" s="10" t="s">
        <v>194</v>
      </c>
      <c r="C134" s="10" t="s">
        <v>195</v>
      </c>
      <c r="D134" s="10">
        <v>24</v>
      </c>
      <c r="E134" s="10" t="s">
        <v>116</v>
      </c>
      <c r="F134" s="133" t="s">
        <v>23</v>
      </c>
      <c r="G134" s="10"/>
    </row>
    <row r="135" spans="1:8" s="3" customFormat="1">
      <c r="A135" s="25"/>
      <c r="B135" s="10" t="s">
        <v>196</v>
      </c>
      <c r="C135" s="10" t="s">
        <v>197</v>
      </c>
      <c r="D135" s="10">
        <v>100</v>
      </c>
      <c r="E135" s="10" t="s">
        <v>116</v>
      </c>
      <c r="F135" s="133" t="s">
        <v>23</v>
      </c>
      <c r="G135" s="10"/>
    </row>
    <row r="136" spans="1:8" s="3" customFormat="1">
      <c r="A136" s="25"/>
      <c r="B136" s="10" t="s">
        <v>198</v>
      </c>
      <c r="C136" s="10" t="s">
        <v>199</v>
      </c>
      <c r="D136" s="10">
        <v>12</v>
      </c>
      <c r="E136" s="10" t="s">
        <v>116</v>
      </c>
      <c r="F136" s="133" t="s">
        <v>23</v>
      </c>
      <c r="G136" s="10"/>
    </row>
    <row r="137" spans="1:8" s="3" customFormat="1">
      <c r="A137" s="25"/>
      <c r="B137" s="10" t="s">
        <v>200</v>
      </c>
      <c r="C137" s="10" t="s">
        <v>201</v>
      </c>
      <c r="D137" s="10">
        <f>$D$132*$D$133*$D$134*$D$135*$D$136</f>
        <v>1728000000</v>
      </c>
      <c r="E137" s="27" t="s">
        <v>29</v>
      </c>
      <c r="F137" s="101" t="s">
        <v>23</v>
      </c>
      <c r="G137" s="10"/>
    </row>
    <row r="138" spans="1:8" s="3" customFormat="1">
      <c r="A138" s="25"/>
      <c r="B138" s="10"/>
      <c r="C138" s="10"/>
      <c r="D138" s="10"/>
      <c r="E138" s="27"/>
      <c r="F138" s="101" t="s">
        <v>23</v>
      </c>
      <c r="G138" s="10"/>
    </row>
    <row r="139" spans="1:8" s="3" customFormat="1">
      <c r="A139" s="21" t="s">
        <v>202</v>
      </c>
      <c r="B139" s="15" t="s">
        <v>203</v>
      </c>
      <c r="C139" s="10"/>
      <c r="D139" s="10"/>
      <c r="E139" s="93"/>
      <c r="F139" s="101" t="s">
        <v>23</v>
      </c>
      <c r="G139" s="13"/>
    </row>
    <row r="140" spans="1:8" s="3" customFormat="1">
      <c r="A140" s="25"/>
      <c r="B140" s="10" t="s">
        <v>204</v>
      </c>
      <c r="C140" s="10" t="s">
        <v>205</v>
      </c>
      <c r="D140" s="10">
        <v>1531</v>
      </c>
      <c r="E140" s="93" t="s">
        <v>206</v>
      </c>
      <c r="F140" s="101" t="s">
        <v>23</v>
      </c>
      <c r="G140" s="10"/>
    </row>
    <row r="141" spans="1:8" s="9" customFormat="1">
      <c r="A141" s="127"/>
      <c r="B141" s="11" t="s">
        <v>207</v>
      </c>
      <c r="C141" s="11" t="s">
        <v>205</v>
      </c>
      <c r="D141" s="11">
        <v>198</v>
      </c>
      <c r="E141" s="93" t="s">
        <v>206</v>
      </c>
      <c r="F141" s="101" t="s">
        <v>23</v>
      </c>
      <c r="G141" s="11"/>
    </row>
    <row r="142" spans="1:8" s="9" customFormat="1">
      <c r="A142" s="127"/>
      <c r="B142" s="11" t="s">
        <v>208</v>
      </c>
      <c r="C142" s="11" t="s">
        <v>205</v>
      </c>
      <c r="D142" s="11">
        <v>-16</v>
      </c>
      <c r="E142" s="93" t="s">
        <v>206</v>
      </c>
      <c r="F142" s="101" t="s">
        <v>23</v>
      </c>
      <c r="G142" s="11"/>
    </row>
    <row r="143" spans="1:8" s="9" customFormat="1">
      <c r="A143" s="127"/>
      <c r="B143" s="11" t="s">
        <v>209</v>
      </c>
      <c r="C143" s="11" t="s">
        <v>205</v>
      </c>
      <c r="D143" s="11">
        <v>-13</v>
      </c>
      <c r="E143" s="93" t="s">
        <v>206</v>
      </c>
      <c r="F143" s="101" t="s">
        <v>23</v>
      </c>
      <c r="G143" s="11"/>
    </row>
    <row r="144" spans="1:8" s="9" customFormat="1">
      <c r="A144" s="127"/>
      <c r="B144" s="11" t="s">
        <v>210</v>
      </c>
      <c r="C144" s="11" t="s">
        <v>211</v>
      </c>
      <c r="D144" s="11">
        <v>10</v>
      </c>
      <c r="E144" s="93" t="s">
        <v>206</v>
      </c>
      <c r="F144" s="101" t="s">
        <v>23</v>
      </c>
      <c r="G144" s="11"/>
    </row>
    <row r="145" spans="1:7" s="9" customFormat="1">
      <c r="A145" s="127"/>
      <c r="B145" s="11" t="s">
        <v>212</v>
      </c>
      <c r="C145" s="11" t="s">
        <v>211</v>
      </c>
      <c r="D145" s="11">
        <v>2</v>
      </c>
      <c r="E145" s="93" t="s">
        <v>206</v>
      </c>
      <c r="F145" s="101" t="s">
        <v>23</v>
      </c>
      <c r="G145" s="11"/>
    </row>
    <row r="146" spans="1:7" s="9" customFormat="1">
      <c r="A146" s="127"/>
      <c r="B146" s="11" t="s">
        <v>213</v>
      </c>
      <c r="C146" s="11" t="s">
        <v>214</v>
      </c>
      <c r="D146" s="11">
        <v>7</v>
      </c>
      <c r="E146" s="93" t="s">
        <v>206</v>
      </c>
      <c r="F146" s="101" t="s">
        <v>23</v>
      </c>
      <c r="G146" s="11"/>
    </row>
    <row r="147" spans="1:7" s="3" customFormat="1">
      <c r="A147" s="30"/>
      <c r="B147" s="37" t="s">
        <v>215</v>
      </c>
      <c r="C147" s="37" t="s">
        <v>216</v>
      </c>
      <c r="D147" s="37">
        <f>((((D141-D143)/D145)/((D140-D142)/D144))/D146)</f>
        <v>9.742358481854281E-2</v>
      </c>
      <c r="E147" s="32" t="s">
        <v>29</v>
      </c>
      <c r="F147" s="101" t="s">
        <v>23</v>
      </c>
      <c r="G147" s="10"/>
    </row>
    <row r="148" spans="1:7">
      <c r="A148" s="45" t="s">
        <v>217</v>
      </c>
      <c r="B148" s="52" t="s">
        <v>35</v>
      </c>
      <c r="C148" s="19"/>
      <c r="D148" s="19"/>
      <c r="E148" s="34"/>
      <c r="F148" s="99" t="s">
        <v>23</v>
      </c>
      <c r="G148" s="2"/>
    </row>
    <row r="149" spans="1:7">
      <c r="A149" s="21"/>
      <c r="B149" s="54" t="s">
        <v>218</v>
      </c>
      <c r="C149" s="54" t="s">
        <v>219</v>
      </c>
      <c r="D149" s="54">
        <v>3945</v>
      </c>
      <c r="E149" s="71" t="s">
        <v>220</v>
      </c>
      <c r="F149" s="99" t="s">
        <v>23</v>
      </c>
      <c r="G149" s="2"/>
    </row>
    <row r="150" spans="1:7" s="3" customFormat="1">
      <c r="A150" s="21"/>
      <c r="B150" s="54" t="s">
        <v>221</v>
      </c>
      <c r="C150" s="54" t="s">
        <v>34</v>
      </c>
      <c r="D150" s="98">
        <f>$D$147</f>
        <v>9.742358481854281E-2</v>
      </c>
      <c r="E150" s="124" t="s">
        <v>29</v>
      </c>
      <c r="F150" s="99" t="s">
        <v>23</v>
      </c>
      <c r="G150" s="238"/>
    </row>
    <row r="151" spans="1:7" s="3" customFormat="1">
      <c r="A151" s="21"/>
      <c r="B151" s="54" t="s">
        <v>222</v>
      </c>
      <c r="C151" s="54" t="s">
        <v>223</v>
      </c>
      <c r="D151" s="98">
        <f>$D$149*'Unit Conversions'!D19*($D$150)</f>
        <v>106760097.10499585</v>
      </c>
      <c r="E151" s="124" t="s">
        <v>29</v>
      </c>
      <c r="F151" s="99" t="s">
        <v>23</v>
      </c>
      <c r="G151" s="238"/>
    </row>
    <row r="152" spans="1:7" s="1" customFormat="1">
      <c r="A152" s="21"/>
      <c r="B152" s="11" t="s">
        <v>224</v>
      </c>
      <c r="C152" s="11" t="s">
        <v>225</v>
      </c>
      <c r="D152" s="110">
        <f>$D$137</f>
        <v>1728000000</v>
      </c>
      <c r="E152" s="124" t="s">
        <v>29</v>
      </c>
      <c r="F152" s="99" t="s">
        <v>23</v>
      </c>
      <c r="G152" s="2"/>
    </row>
    <row r="153" spans="1:7" s="1" customFormat="1">
      <c r="A153" s="21"/>
      <c r="B153" s="11" t="s">
        <v>226</v>
      </c>
      <c r="C153" s="11" t="s">
        <v>227</v>
      </c>
      <c r="D153" s="98">
        <f>'Unit Conversions'!$D$42</f>
        <v>5400</v>
      </c>
      <c r="E153" s="10" t="s">
        <v>116</v>
      </c>
      <c r="F153" s="113" t="s">
        <v>23</v>
      </c>
      <c r="G153" s="2"/>
    </row>
    <row r="154" spans="1:7" s="1" customFormat="1">
      <c r="A154" s="21"/>
      <c r="B154" s="36" t="s">
        <v>228</v>
      </c>
      <c r="C154" s="36" t="s">
        <v>229</v>
      </c>
      <c r="D154" s="117">
        <f>($D$151/$D$152)*$D$153</f>
        <v>333.625303453112</v>
      </c>
      <c r="E154" s="125" t="s">
        <v>29</v>
      </c>
      <c r="F154" s="99" t="s">
        <v>23</v>
      </c>
      <c r="G154" s="2"/>
    </row>
    <row r="155" spans="1:7" s="1" customFormat="1">
      <c r="A155" s="21"/>
      <c r="B155" s="54"/>
      <c r="C155" s="54"/>
      <c r="D155" s="54"/>
      <c r="E155" s="125"/>
      <c r="F155" s="99" t="s">
        <v>23</v>
      </c>
      <c r="G155" s="2"/>
    </row>
    <row r="156" spans="1:7" s="1" customFormat="1">
      <c r="A156" s="21"/>
      <c r="B156" s="36" t="s">
        <v>53</v>
      </c>
      <c r="C156" s="54"/>
      <c r="D156" s="54"/>
      <c r="E156" s="125"/>
      <c r="F156" s="99" t="s">
        <v>23</v>
      </c>
      <c r="G156" s="2"/>
    </row>
    <row r="157" spans="1:7" s="1" customFormat="1">
      <c r="A157" s="21"/>
      <c r="B157" s="54" t="s">
        <v>230</v>
      </c>
      <c r="C157" s="54" t="s">
        <v>231</v>
      </c>
      <c r="D157" s="54">
        <f>0.63*10^6</f>
        <v>630000</v>
      </c>
      <c r="E157" s="71" t="s">
        <v>220</v>
      </c>
      <c r="F157" s="99" t="s">
        <v>23</v>
      </c>
      <c r="G157" s="2"/>
    </row>
    <row r="158" spans="1:7">
      <c r="A158" s="21"/>
      <c r="B158" s="54" t="s">
        <v>221</v>
      </c>
      <c r="C158" s="54" t="s">
        <v>34</v>
      </c>
      <c r="D158" s="98">
        <f>$D$147</f>
        <v>9.742358481854281E-2</v>
      </c>
      <c r="E158" s="124" t="s">
        <v>29</v>
      </c>
      <c r="F158" s="99" t="s">
        <v>23</v>
      </c>
      <c r="G158" s="238"/>
    </row>
    <row r="159" spans="1:7">
      <c r="A159" s="21"/>
      <c r="B159" s="54" t="s">
        <v>232</v>
      </c>
      <c r="C159" s="54" t="s">
        <v>233</v>
      </c>
      <c r="D159" s="98">
        <f>$D$157*'Unit Conversions'!D5*$D$158</f>
        <v>61376858.435681969</v>
      </c>
      <c r="E159" s="124" t="s">
        <v>29</v>
      </c>
      <c r="F159" s="99" t="s">
        <v>23</v>
      </c>
      <c r="G159" s="238"/>
    </row>
    <row r="160" spans="1:7">
      <c r="A160" s="21"/>
      <c r="B160" s="11" t="s">
        <v>224</v>
      </c>
      <c r="C160" s="11" t="s">
        <v>225</v>
      </c>
      <c r="D160" s="98">
        <f>$D$137</f>
        <v>1728000000</v>
      </c>
      <c r="E160" s="124" t="s">
        <v>29</v>
      </c>
      <c r="F160" s="99" t="s">
        <v>23</v>
      </c>
      <c r="G160" s="2"/>
    </row>
    <row r="161" spans="1:7">
      <c r="A161" s="21"/>
      <c r="B161" s="11" t="s">
        <v>226</v>
      </c>
      <c r="C161" s="11" t="s">
        <v>227</v>
      </c>
      <c r="D161" s="98">
        <f>'Unit Conversions'!$D$42</f>
        <v>5400</v>
      </c>
      <c r="E161" s="10" t="s">
        <v>116</v>
      </c>
      <c r="F161" s="113" t="s">
        <v>23</v>
      </c>
      <c r="G161" s="2"/>
    </row>
    <row r="162" spans="1:7">
      <c r="A162" s="21"/>
      <c r="B162" s="36" t="s">
        <v>234</v>
      </c>
      <c r="C162" s="36" t="s">
        <v>187</v>
      </c>
      <c r="D162" s="118">
        <f>($D$159/$D$160)*$D$161</f>
        <v>191.80268261150619</v>
      </c>
      <c r="E162" s="125" t="s">
        <v>29</v>
      </c>
      <c r="F162" s="99" t="s">
        <v>23</v>
      </c>
      <c r="G162" s="2"/>
    </row>
    <row r="163" spans="1:7">
      <c r="A163" s="21"/>
      <c r="B163" s="54"/>
      <c r="C163" s="54"/>
      <c r="D163" s="54"/>
      <c r="E163" s="125"/>
      <c r="F163" s="99" t="s">
        <v>23</v>
      </c>
      <c r="G163" s="2"/>
    </row>
    <row r="164" spans="1:7" s="4" customFormat="1">
      <c r="A164" s="72"/>
      <c r="B164" s="36" t="s">
        <v>45</v>
      </c>
      <c r="C164" s="54"/>
      <c r="D164" s="54"/>
      <c r="E164" s="125"/>
      <c r="F164" s="99" t="s">
        <v>23</v>
      </c>
      <c r="G164" s="54"/>
    </row>
    <row r="165" spans="1:7" s="4" customFormat="1">
      <c r="A165" s="72"/>
      <c r="B165" s="54" t="s">
        <v>235</v>
      </c>
      <c r="C165" s="54" t="s">
        <v>236</v>
      </c>
      <c r="D165" s="54">
        <v>5.5</v>
      </c>
      <c r="E165" s="71" t="s">
        <v>220</v>
      </c>
      <c r="F165" s="99" t="s">
        <v>23</v>
      </c>
      <c r="G165" s="54"/>
    </row>
    <row r="166" spans="1:7" s="4" customFormat="1">
      <c r="A166" s="72"/>
      <c r="B166" s="54" t="s">
        <v>237</v>
      </c>
      <c r="C166" s="54" t="s">
        <v>34</v>
      </c>
      <c r="D166" s="98">
        <f>$D$147</f>
        <v>9.742358481854281E-2</v>
      </c>
      <c r="E166" s="124" t="s">
        <v>29</v>
      </c>
      <c r="F166" s="99" t="s">
        <v>23</v>
      </c>
      <c r="G166" s="68"/>
    </row>
    <row r="167" spans="1:7" s="4" customFormat="1">
      <c r="A167" s="72"/>
      <c r="B167" s="54" t="s">
        <v>238</v>
      </c>
      <c r="C167" s="54" t="s">
        <v>239</v>
      </c>
      <c r="D167" s="98">
        <f>$D$165*'Unit Conversions'!D9*$D$166</f>
        <v>141551235.19507805</v>
      </c>
      <c r="E167" s="124" t="s">
        <v>29</v>
      </c>
      <c r="F167" s="99" t="s">
        <v>23</v>
      </c>
      <c r="G167" s="68"/>
    </row>
    <row r="168" spans="1:7" s="9" customFormat="1">
      <c r="A168" s="72"/>
      <c r="B168" s="11" t="s">
        <v>224</v>
      </c>
      <c r="C168" s="11" t="s">
        <v>225</v>
      </c>
      <c r="D168" s="98">
        <f>$D$137</f>
        <v>1728000000</v>
      </c>
      <c r="E168" s="124" t="s">
        <v>29</v>
      </c>
      <c r="F168" s="99" t="s">
        <v>23</v>
      </c>
      <c r="G168" s="11"/>
    </row>
    <row r="169" spans="1:7" s="9" customFormat="1">
      <c r="A169" s="72"/>
      <c r="B169" s="11" t="s">
        <v>226</v>
      </c>
      <c r="C169" s="11" t="s">
        <v>227</v>
      </c>
      <c r="D169" s="98">
        <f>'Unit Conversions'!$D$42</f>
        <v>5400</v>
      </c>
      <c r="E169" s="10" t="s">
        <v>116</v>
      </c>
      <c r="F169" s="113" t="s">
        <v>23</v>
      </c>
      <c r="G169" s="11"/>
    </row>
    <row r="170" spans="1:7" s="4" customFormat="1">
      <c r="A170" s="72"/>
      <c r="B170" s="36" t="s">
        <v>240</v>
      </c>
      <c r="C170" s="36" t="s">
        <v>186</v>
      </c>
      <c r="D170" s="69">
        <f>($D$167/$D$168)*$D$169</f>
        <v>442.34760998461888</v>
      </c>
      <c r="E170" s="125" t="s">
        <v>29</v>
      </c>
      <c r="F170" s="99" t="s">
        <v>23</v>
      </c>
      <c r="G170" s="54"/>
    </row>
    <row r="171" spans="1:7" s="4" customFormat="1">
      <c r="A171" s="72"/>
      <c r="B171" s="36"/>
      <c r="C171" s="36"/>
      <c r="D171" s="69"/>
      <c r="E171" s="125"/>
      <c r="F171" s="99" t="s">
        <v>23</v>
      </c>
      <c r="G171" s="54"/>
    </row>
    <row r="172" spans="1:7" s="4" customFormat="1">
      <c r="A172" s="72"/>
      <c r="B172" s="36" t="s">
        <v>59</v>
      </c>
      <c r="C172" s="36"/>
      <c r="D172" s="69"/>
      <c r="E172" s="125"/>
      <c r="F172" s="99" t="s">
        <v>23</v>
      </c>
      <c r="G172" s="54"/>
    </row>
    <row r="173" spans="1:7" s="9" customFormat="1">
      <c r="A173" s="72"/>
      <c r="B173" s="11" t="s">
        <v>241</v>
      </c>
      <c r="C173" s="11" t="s">
        <v>242</v>
      </c>
      <c r="D173" s="98">
        <v>5897.61</v>
      </c>
      <c r="E173" s="71" t="s">
        <v>220</v>
      </c>
      <c r="F173" s="99" t="s">
        <v>23</v>
      </c>
      <c r="G173" s="11"/>
    </row>
    <row r="174" spans="1:7">
      <c r="A174" s="21"/>
      <c r="B174" s="54" t="s">
        <v>237</v>
      </c>
      <c r="C174" s="54" t="s">
        <v>34</v>
      </c>
      <c r="D174" s="98">
        <f>$D$147</f>
        <v>9.742358481854281E-2</v>
      </c>
      <c r="E174" s="124" t="s">
        <v>29</v>
      </c>
      <c r="F174" s="99" t="s">
        <v>23</v>
      </c>
      <c r="G174" s="2"/>
    </row>
    <row r="175" spans="1:7">
      <c r="A175" s="21"/>
      <c r="B175" s="54" t="s">
        <v>243</v>
      </c>
      <c r="C175" s="54" t="s">
        <v>244</v>
      </c>
      <c r="D175" s="98">
        <f>$D$173*'Unit Conversions'!D5*$D$174</f>
        <v>574566.30806168623</v>
      </c>
      <c r="E175" s="124" t="s">
        <v>29</v>
      </c>
      <c r="F175" s="99" t="s">
        <v>23</v>
      </c>
      <c r="G175" s="2"/>
    </row>
    <row r="176" spans="1:7">
      <c r="A176" s="21"/>
      <c r="B176" s="11" t="s">
        <v>224</v>
      </c>
      <c r="C176" s="11" t="s">
        <v>225</v>
      </c>
      <c r="D176" s="98">
        <f>$D$137</f>
        <v>1728000000</v>
      </c>
      <c r="E176" s="124" t="s">
        <v>29</v>
      </c>
      <c r="F176" s="99" t="s">
        <v>23</v>
      </c>
      <c r="G176" s="2"/>
    </row>
    <row r="177" spans="1:8">
      <c r="A177" s="21"/>
      <c r="B177" s="11" t="s">
        <v>226</v>
      </c>
      <c r="C177" s="11" t="s">
        <v>227</v>
      </c>
      <c r="D177" s="98">
        <f>'Unit Conversions'!$D$42</f>
        <v>5400</v>
      </c>
      <c r="E177" s="27" t="s">
        <v>116</v>
      </c>
      <c r="F177" s="99" t="s">
        <v>23</v>
      </c>
      <c r="G177" s="2"/>
    </row>
    <row r="178" spans="1:8">
      <c r="A178" s="21"/>
      <c r="B178" s="36" t="s">
        <v>245</v>
      </c>
      <c r="C178" s="36" t="s">
        <v>246</v>
      </c>
      <c r="D178" s="69">
        <f>($D$175/$D$176)*$D$177</f>
        <v>1.7955197126927696</v>
      </c>
      <c r="E178" s="126" t="s">
        <v>29</v>
      </c>
      <c r="F178" s="99" t="s">
        <v>23</v>
      </c>
      <c r="G178" s="2"/>
    </row>
    <row r="179" spans="1:8">
      <c r="A179" s="21"/>
      <c r="B179" s="36"/>
      <c r="C179" s="36"/>
      <c r="D179" s="69"/>
      <c r="E179" s="126"/>
      <c r="F179" s="99" t="s">
        <v>23</v>
      </c>
      <c r="G179" s="2"/>
    </row>
    <row r="180" spans="1:8">
      <c r="A180" s="41"/>
      <c r="B180" s="96" t="s">
        <v>247</v>
      </c>
      <c r="C180" s="54"/>
      <c r="D180" s="54"/>
      <c r="E180" s="125"/>
      <c r="F180" s="99" t="s">
        <v>23</v>
      </c>
      <c r="G180" s="2"/>
    </row>
    <row r="181" spans="1:8">
      <c r="A181" s="41"/>
      <c r="B181" s="36" t="s">
        <v>179</v>
      </c>
      <c r="C181" s="36" t="s">
        <v>248</v>
      </c>
      <c r="D181" s="36">
        <f>$D$154</f>
        <v>333.625303453112</v>
      </c>
      <c r="E181" s="27" t="s">
        <v>29</v>
      </c>
      <c r="F181" s="99" t="s">
        <v>23</v>
      </c>
      <c r="G181" s="2"/>
    </row>
    <row r="182" spans="1:8">
      <c r="A182" s="41"/>
      <c r="B182" s="36" t="s">
        <v>185</v>
      </c>
      <c r="C182" s="36" t="s">
        <v>249</v>
      </c>
      <c r="D182" s="36">
        <f>$D$170</f>
        <v>442.34760998461888</v>
      </c>
      <c r="E182" s="27" t="s">
        <v>29</v>
      </c>
      <c r="F182" s="99" t="s">
        <v>23</v>
      </c>
      <c r="G182" s="2"/>
    </row>
    <row r="183" spans="1:8">
      <c r="A183" s="41"/>
      <c r="B183" s="36" t="s">
        <v>181</v>
      </c>
      <c r="C183" s="36" t="s">
        <v>250</v>
      </c>
      <c r="D183" s="36">
        <f>$D$162</f>
        <v>191.80268261150619</v>
      </c>
      <c r="E183" s="27" t="s">
        <v>29</v>
      </c>
      <c r="F183" s="99" t="s">
        <v>23</v>
      </c>
      <c r="G183" s="2"/>
    </row>
    <row r="184" spans="1:8">
      <c r="A184" s="66"/>
      <c r="B184" s="70" t="s">
        <v>182</v>
      </c>
      <c r="C184" s="70" t="s">
        <v>251</v>
      </c>
      <c r="D184" s="123">
        <f>$D$178</f>
        <v>1.7955197126927696</v>
      </c>
      <c r="E184" s="32" t="s">
        <v>29</v>
      </c>
      <c r="F184" s="99" t="s">
        <v>23</v>
      </c>
      <c r="G184" s="2"/>
    </row>
    <row r="185" spans="1:8" s="4" customFormat="1">
      <c r="E185" s="9"/>
    </row>
    <row r="186" spans="1:8">
      <c r="A186" s="8" t="s">
        <v>252</v>
      </c>
      <c r="E186" s="3"/>
    </row>
    <row r="187" spans="1:8">
      <c r="A187" s="45"/>
      <c r="B187" s="52" t="s">
        <v>253</v>
      </c>
      <c r="C187" s="19"/>
      <c r="D187" s="19"/>
      <c r="E187" s="33"/>
      <c r="F187" s="41"/>
      <c r="G187" s="2"/>
      <c r="H187" s="2"/>
    </row>
    <row r="188" spans="1:8">
      <c r="A188" s="41"/>
      <c r="B188" s="54" t="s">
        <v>254</v>
      </c>
      <c r="C188" s="2" t="s">
        <v>255</v>
      </c>
      <c r="D188" s="54">
        <v>10</v>
      </c>
      <c r="E188" s="13" t="s">
        <v>256</v>
      </c>
      <c r="F188" s="39"/>
      <c r="G188" s="2"/>
      <c r="H188" s="2"/>
    </row>
    <row r="189" spans="1:8" ht="15.75" hidden="1" customHeight="1">
      <c r="A189" s="41"/>
      <c r="B189" s="2" t="s">
        <v>257</v>
      </c>
      <c r="C189" s="2" t="s">
        <v>258</v>
      </c>
      <c r="D189" s="54">
        <v>8.89</v>
      </c>
      <c r="E189" s="10"/>
      <c r="F189" s="26"/>
      <c r="G189" s="2"/>
      <c r="H189" s="2"/>
    </row>
    <row r="190" spans="1:8">
      <c r="A190" s="41"/>
      <c r="B190" s="54" t="s">
        <v>259</v>
      </c>
      <c r="C190" s="2" t="s">
        <v>260</v>
      </c>
      <c r="D190" s="54">
        <v>4</v>
      </c>
      <c r="E190" s="203" t="s">
        <v>261</v>
      </c>
      <c r="F190" s="214" t="s">
        <v>262</v>
      </c>
      <c r="G190" s="2"/>
      <c r="H190" s="2"/>
    </row>
    <row r="191" spans="1:8" ht="15.75" hidden="1" customHeight="1">
      <c r="A191" s="41"/>
      <c r="B191" s="2" t="s">
        <v>263</v>
      </c>
      <c r="C191" s="2" t="s">
        <v>264</v>
      </c>
      <c r="D191" s="54">
        <v>55</v>
      </c>
      <c r="E191" s="203"/>
      <c r="F191" s="214"/>
      <c r="G191" s="2"/>
      <c r="H191" s="2"/>
    </row>
    <row r="192" spans="1:8" ht="15.75" hidden="1" customHeight="1">
      <c r="A192" s="41"/>
      <c r="B192" s="54" t="s">
        <v>265</v>
      </c>
      <c r="C192" s="2" t="s">
        <v>266</v>
      </c>
      <c r="D192" s="54">
        <v>40</v>
      </c>
      <c r="E192" s="203"/>
      <c r="F192" s="214"/>
      <c r="G192" s="2"/>
      <c r="H192" s="2"/>
    </row>
    <row r="193" spans="1:8" ht="15.75" hidden="1" customHeight="1">
      <c r="A193" s="41"/>
      <c r="B193" s="42" t="s">
        <v>267</v>
      </c>
      <c r="C193" s="2" t="s">
        <v>268</v>
      </c>
      <c r="D193" s="73">
        <f>$D$192/$D$191</f>
        <v>0.72727272727272729</v>
      </c>
      <c r="E193" s="203"/>
      <c r="F193" s="214"/>
      <c r="G193" s="2"/>
      <c r="H193" s="2"/>
    </row>
    <row r="194" spans="1:8" ht="15.75" hidden="1" customHeight="1">
      <c r="A194" s="41"/>
      <c r="B194" s="42" t="s">
        <v>269</v>
      </c>
      <c r="C194" s="2" t="s">
        <v>268</v>
      </c>
      <c r="D194" s="73">
        <f>$D$193*$D$190</f>
        <v>2.9090909090909092</v>
      </c>
      <c r="E194" s="203"/>
      <c r="F194" s="214"/>
      <c r="G194" s="2"/>
      <c r="H194" s="2"/>
    </row>
    <row r="195" spans="1:8" ht="15.75" hidden="1" customHeight="1">
      <c r="A195" s="41"/>
      <c r="B195" s="42" t="s">
        <v>270</v>
      </c>
      <c r="C195" s="2" t="s">
        <v>271</v>
      </c>
      <c r="D195" s="54">
        <f>$D$192/$D$188*$D$189</f>
        <v>35.56</v>
      </c>
      <c r="E195" s="203"/>
      <c r="F195" s="214"/>
      <c r="G195" s="2"/>
      <c r="H195" s="2"/>
    </row>
    <row r="196" spans="1:8" ht="15.75" hidden="1" customHeight="1">
      <c r="A196" s="41"/>
      <c r="B196" s="42" t="s">
        <v>272</v>
      </c>
      <c r="C196" s="2" t="s">
        <v>271</v>
      </c>
      <c r="D196" s="54">
        <f>$D$195*$D$190</f>
        <v>142.24</v>
      </c>
      <c r="E196" s="203"/>
      <c r="F196" s="214"/>
      <c r="G196" s="2"/>
      <c r="H196" s="2"/>
    </row>
    <row r="197" spans="1:8">
      <c r="A197" s="41"/>
      <c r="B197" s="42" t="s">
        <v>273</v>
      </c>
      <c r="C197" s="2" t="s">
        <v>260</v>
      </c>
      <c r="D197" s="54">
        <v>2</v>
      </c>
      <c r="E197" s="203" t="s">
        <v>261</v>
      </c>
      <c r="F197" s="214" t="s">
        <v>262</v>
      </c>
      <c r="G197" s="2"/>
      <c r="H197" s="2"/>
    </row>
    <row r="198" spans="1:8" ht="15.75" hidden="1" customHeight="1">
      <c r="A198" s="41"/>
      <c r="B198" s="42" t="s">
        <v>274</v>
      </c>
      <c r="C198" s="2" t="s">
        <v>275</v>
      </c>
      <c r="D198" s="73">
        <f>1/2.75</f>
        <v>0.36363636363636365</v>
      </c>
      <c r="E198" s="10" t="s">
        <v>276</v>
      </c>
      <c r="F198" s="26"/>
      <c r="G198" s="2"/>
      <c r="H198" s="2"/>
    </row>
    <row r="199" spans="1:8" ht="15.75" hidden="1" customHeight="1">
      <c r="A199" s="41"/>
      <c r="B199" s="42" t="s">
        <v>277</v>
      </c>
      <c r="C199" s="2" t="s">
        <v>271</v>
      </c>
      <c r="D199" s="54">
        <v>9.57</v>
      </c>
      <c r="E199" s="60"/>
      <c r="F199" s="44"/>
      <c r="G199" s="43"/>
      <c r="H199" s="2"/>
    </row>
    <row r="200" spans="1:8" ht="15.75" hidden="1" customHeight="1">
      <c r="A200" s="41"/>
      <c r="B200" s="42" t="s">
        <v>278</v>
      </c>
      <c r="C200" s="2" t="s">
        <v>260</v>
      </c>
      <c r="D200" s="54">
        <v>2</v>
      </c>
      <c r="E200" s="61" t="s">
        <v>279</v>
      </c>
      <c r="F200" s="44"/>
      <c r="G200" s="43"/>
      <c r="H200" s="2"/>
    </row>
    <row r="201" spans="1:8" ht="15.75" hidden="1" customHeight="1">
      <c r="A201" s="41"/>
      <c r="B201" s="2" t="s">
        <v>265</v>
      </c>
      <c r="C201" s="2" t="s">
        <v>266</v>
      </c>
      <c r="D201" s="54">
        <v>40</v>
      </c>
      <c r="E201" s="60"/>
      <c r="F201" s="44"/>
      <c r="G201" s="43"/>
      <c r="H201" s="2"/>
    </row>
    <row r="202" spans="1:8" ht="15.75" hidden="1" customHeight="1">
      <c r="A202" s="41"/>
      <c r="B202" s="42" t="s">
        <v>270</v>
      </c>
      <c r="C202" s="2" t="s">
        <v>271</v>
      </c>
      <c r="D202" s="73">
        <f>$D$201/$D$198*$D$199</f>
        <v>1052.7</v>
      </c>
      <c r="E202" s="60"/>
      <c r="F202" s="44"/>
      <c r="G202" s="43"/>
      <c r="H202" s="2"/>
    </row>
    <row r="203" spans="1:8" ht="15.75" hidden="1" customHeight="1">
      <c r="A203" s="41"/>
      <c r="B203" s="42" t="s">
        <v>272</v>
      </c>
      <c r="C203" s="2" t="s">
        <v>271</v>
      </c>
      <c r="D203" s="54">
        <f>$D$202*$D$200</f>
        <v>2105.4</v>
      </c>
      <c r="E203" s="60"/>
      <c r="F203" s="44"/>
      <c r="G203" s="43"/>
      <c r="H203" s="2"/>
    </row>
    <row r="204" spans="1:8" ht="15.75" hidden="1" customHeight="1">
      <c r="A204" s="41"/>
      <c r="B204" s="42" t="s">
        <v>280</v>
      </c>
      <c r="C204" s="2" t="s">
        <v>281</v>
      </c>
      <c r="D204" s="54">
        <v>172.4</v>
      </c>
      <c r="E204" s="60" t="s">
        <v>282</v>
      </c>
      <c r="F204" s="44"/>
      <c r="G204" s="43"/>
      <c r="H204" s="2"/>
    </row>
    <row r="205" spans="1:8" ht="15.75" hidden="1" customHeight="1">
      <c r="A205" s="41"/>
      <c r="B205" s="42" t="s">
        <v>283</v>
      </c>
      <c r="C205" s="2" t="s">
        <v>271</v>
      </c>
      <c r="D205" s="54">
        <f>$D$203+$D$196</f>
        <v>2247.6400000000003</v>
      </c>
      <c r="E205" s="60"/>
      <c r="F205" s="44"/>
      <c r="G205" s="43"/>
      <c r="H205" s="2"/>
    </row>
    <row r="206" spans="1:8">
      <c r="A206" s="41"/>
      <c r="B206" s="42"/>
      <c r="C206" s="2"/>
      <c r="D206" s="54"/>
      <c r="E206" s="60"/>
      <c r="F206" s="218"/>
      <c r="G206" s="43"/>
      <c r="H206" s="2"/>
    </row>
    <row r="207" spans="1:8">
      <c r="A207" s="41"/>
      <c r="B207" s="2" t="s">
        <v>284</v>
      </c>
      <c r="C207" s="74" t="s">
        <v>62</v>
      </c>
      <c r="D207" s="54">
        <v>64.400000000000006</v>
      </c>
      <c r="E207" s="229" t="s">
        <v>285</v>
      </c>
      <c r="F207" s="66"/>
      <c r="G207" s="43"/>
      <c r="H207" s="2"/>
    </row>
    <row r="208" spans="1:8">
      <c r="A208" s="41"/>
      <c r="B208" s="2" t="s">
        <v>286</v>
      </c>
      <c r="C208" s="74" t="s">
        <v>62</v>
      </c>
      <c r="D208" s="74">
        <f>$D$207/'Unit Conversions'!$D$35</f>
        <v>0.17643835616438358</v>
      </c>
      <c r="E208" s="215" t="s">
        <v>29</v>
      </c>
      <c r="F208" s="230" t="s">
        <v>287</v>
      </c>
      <c r="G208" s="81"/>
      <c r="H208" s="2"/>
    </row>
    <row r="209" spans="1:8">
      <c r="A209" s="41"/>
      <c r="B209" s="2" t="s">
        <v>288</v>
      </c>
      <c r="C209" s="74" t="s">
        <v>289</v>
      </c>
      <c r="D209" s="74">
        <f>$D$208*'Unit Conversions'!$D$7</f>
        <v>160.0622301369863</v>
      </c>
      <c r="E209" s="215" t="s">
        <v>29</v>
      </c>
      <c r="F209" s="219"/>
      <c r="G209" s="80"/>
      <c r="H209" s="2"/>
    </row>
    <row r="210" spans="1:8">
      <c r="A210" s="39"/>
      <c r="B210" s="121" t="s">
        <v>290</v>
      </c>
      <c r="C210" s="144" t="s">
        <v>289</v>
      </c>
      <c r="D210" s="122">
        <f>$D$209/$D$197</f>
        <v>80.03111506849315</v>
      </c>
      <c r="E210" s="216" t="s">
        <v>29</v>
      </c>
      <c r="F210" s="217"/>
      <c r="G210" s="43"/>
      <c r="H210" s="2"/>
    </row>
    <row r="211" spans="1:8" ht="15.75" hidden="1" customHeight="1">
      <c r="A211" s="41"/>
      <c r="B211" s="42" t="s">
        <v>283</v>
      </c>
      <c r="C211" s="2" t="s">
        <v>289</v>
      </c>
      <c r="D211" s="62">
        <f>$D$209+$D$203</f>
        <v>2265.4622301369864</v>
      </c>
      <c r="E211" s="60"/>
      <c r="F211" s="43"/>
      <c r="G211" s="43"/>
      <c r="H211" s="2"/>
    </row>
    <row r="212" spans="1:8">
      <c r="A212" s="41"/>
      <c r="B212" s="42"/>
      <c r="C212" s="2"/>
      <c r="D212" s="73"/>
      <c r="E212" s="60"/>
      <c r="F212" s="43"/>
      <c r="G212" s="43"/>
      <c r="H212" s="2"/>
    </row>
    <row r="213" spans="1:8">
      <c r="A213" s="23" t="s">
        <v>291</v>
      </c>
      <c r="B213" s="42"/>
      <c r="C213" s="2"/>
      <c r="D213" s="73"/>
      <c r="E213" s="60"/>
      <c r="F213" s="43"/>
      <c r="G213" s="43"/>
      <c r="H213" s="2"/>
    </row>
    <row r="214" spans="1:8" ht="15.75" hidden="1" customHeight="1">
      <c r="A214" s="41" t="s">
        <v>292</v>
      </c>
      <c r="B214" s="2" t="s">
        <v>293</v>
      </c>
      <c r="C214" s="2" t="s">
        <v>294</v>
      </c>
      <c r="D214" s="47">
        <v>100</v>
      </c>
      <c r="E214" s="53" t="s">
        <v>295</v>
      </c>
      <c r="F214" s="2"/>
      <c r="G214" s="2"/>
    </row>
    <row r="215" spans="1:8" ht="15.75" hidden="1" customHeight="1">
      <c r="A215" s="41" t="s">
        <v>292</v>
      </c>
      <c r="B215" s="2" t="s">
        <v>296</v>
      </c>
      <c r="C215" s="2" t="s">
        <v>297</v>
      </c>
      <c r="D215" s="47">
        <v>6.9</v>
      </c>
      <c r="E215" s="53" t="s">
        <v>295</v>
      </c>
      <c r="F215" s="2"/>
      <c r="G215" s="2"/>
    </row>
    <row r="216" spans="1:8" ht="15.75" hidden="1" customHeight="1">
      <c r="A216" s="41" t="s">
        <v>292</v>
      </c>
      <c r="B216" s="2" t="s">
        <v>298</v>
      </c>
      <c r="C216" s="2" t="s">
        <v>294</v>
      </c>
      <c r="D216" s="51">
        <v>33.299999999999997</v>
      </c>
      <c r="E216" s="53"/>
      <c r="F216" s="2"/>
      <c r="G216" s="2"/>
    </row>
    <row r="217" spans="1:8" ht="15.75" hidden="1" customHeight="1">
      <c r="A217" s="41" t="s">
        <v>292</v>
      </c>
      <c r="B217" s="2" t="s">
        <v>299</v>
      </c>
      <c r="C217" s="48" t="s">
        <v>297</v>
      </c>
      <c r="D217" s="49" t="s">
        <v>300</v>
      </c>
      <c r="E217" s="53" t="s">
        <v>295</v>
      </c>
      <c r="F217" s="2"/>
      <c r="G217" s="2"/>
    </row>
    <row r="218" spans="1:8" ht="15.75" hidden="1" customHeight="1">
      <c r="A218" s="41" t="s">
        <v>292</v>
      </c>
      <c r="B218" s="2" t="s">
        <v>301</v>
      </c>
      <c r="C218" s="48" t="s">
        <v>294</v>
      </c>
      <c r="D218" s="50" t="s">
        <v>302</v>
      </c>
      <c r="E218" s="53"/>
      <c r="F218" s="2"/>
      <c r="G218" s="2"/>
    </row>
    <row r="219" spans="1:8" ht="15.75" hidden="1" customHeight="1">
      <c r="A219" s="41" t="s">
        <v>292</v>
      </c>
      <c r="B219" s="2" t="s">
        <v>303</v>
      </c>
      <c r="C219" s="2" t="s">
        <v>297</v>
      </c>
      <c r="D219" s="47">
        <v>2</v>
      </c>
      <c r="E219" s="53" t="s">
        <v>295</v>
      </c>
      <c r="F219" s="2"/>
      <c r="G219" s="2"/>
    </row>
    <row r="220" spans="1:8" ht="15.75" hidden="1" customHeight="1">
      <c r="A220" s="41" t="s">
        <v>292</v>
      </c>
      <c r="B220" s="2" t="s">
        <v>304</v>
      </c>
      <c r="C220" s="2" t="s">
        <v>294</v>
      </c>
      <c r="D220" s="51">
        <v>66.599999999999994</v>
      </c>
      <c r="E220" s="53"/>
      <c r="F220" s="2"/>
      <c r="G220" s="2"/>
    </row>
    <row r="221" spans="1:8" ht="15.75" hidden="1" customHeight="1">
      <c r="A221" s="41" t="s">
        <v>292</v>
      </c>
      <c r="B221" s="2" t="s">
        <v>305</v>
      </c>
      <c r="C221" s="2" t="s">
        <v>294</v>
      </c>
      <c r="D221" s="51">
        <v>100</v>
      </c>
      <c r="E221" s="53"/>
      <c r="F221" s="2"/>
      <c r="G221" s="2"/>
    </row>
    <row r="222" spans="1:8" ht="15.75" hidden="1" customHeight="1">
      <c r="A222" s="41" t="s">
        <v>292</v>
      </c>
      <c r="B222" s="2" t="s">
        <v>306</v>
      </c>
      <c r="C222" s="2" t="s">
        <v>297</v>
      </c>
      <c r="D222" s="47">
        <v>12</v>
      </c>
      <c r="E222" s="53" t="s">
        <v>295</v>
      </c>
      <c r="F222" s="2"/>
      <c r="G222" s="2"/>
    </row>
    <row r="223" spans="1:8" ht="15.75" hidden="1" customHeight="1">
      <c r="A223" s="41" t="s">
        <v>292</v>
      </c>
      <c r="B223" s="2" t="s">
        <v>307</v>
      </c>
      <c r="C223" s="2" t="s">
        <v>297</v>
      </c>
      <c r="D223" s="47">
        <v>4</v>
      </c>
      <c r="E223" s="53" t="s">
        <v>295</v>
      </c>
      <c r="F223" s="2"/>
      <c r="G223" s="2"/>
    </row>
    <row r="224" spans="1:8" ht="15.75" hidden="1" customHeight="1">
      <c r="A224" s="41" t="s">
        <v>292</v>
      </c>
      <c r="B224" s="2"/>
      <c r="C224" s="2"/>
      <c r="D224" s="2"/>
      <c r="E224" s="27"/>
      <c r="F224" s="2"/>
      <c r="G224" s="2"/>
    </row>
    <row r="225" spans="1:28" ht="15.75" hidden="1" customHeight="1">
      <c r="A225" s="41" t="s">
        <v>292</v>
      </c>
      <c r="B225" s="2" t="s">
        <v>308</v>
      </c>
      <c r="C225" s="2" t="s">
        <v>309</v>
      </c>
      <c r="D225" s="14">
        <v>3.85</v>
      </c>
      <c r="E225" s="27" t="s">
        <v>310</v>
      </c>
      <c r="F225" s="2"/>
      <c r="G225" s="2"/>
    </row>
    <row r="226" spans="1:28" ht="15.75" hidden="1" customHeight="1">
      <c r="A226" s="41" t="s">
        <v>292</v>
      </c>
      <c r="B226" s="15" t="s">
        <v>311</v>
      </c>
      <c r="C226" s="2" t="s">
        <v>312</v>
      </c>
      <c r="D226" s="14">
        <v>3.85</v>
      </c>
      <c r="E226" s="27"/>
      <c r="F226" s="2"/>
      <c r="G226" s="2"/>
    </row>
    <row r="227" spans="1:28">
      <c r="A227" s="87"/>
      <c r="B227" s="19" t="s">
        <v>313</v>
      </c>
      <c r="C227" s="19" t="s">
        <v>314</v>
      </c>
      <c r="D227" s="120">
        <v>4416000000</v>
      </c>
      <c r="E227" s="231" t="s">
        <v>315</v>
      </c>
      <c r="F227" s="2"/>
      <c r="G227" s="2"/>
    </row>
    <row r="228" spans="1:28">
      <c r="A228" s="21"/>
      <c r="B228" s="2" t="s">
        <v>316</v>
      </c>
      <c r="C228" s="2" t="s">
        <v>314</v>
      </c>
      <c r="D228" s="54">
        <v>296000000</v>
      </c>
      <c r="E228" s="71" t="s">
        <v>315</v>
      </c>
      <c r="F228" s="2"/>
      <c r="G228" s="2"/>
    </row>
    <row r="229" spans="1:28">
      <c r="A229" s="21"/>
      <c r="B229" s="2" t="s">
        <v>317</v>
      </c>
      <c r="C229" s="2" t="s">
        <v>318</v>
      </c>
      <c r="D229" s="54">
        <v>10926</v>
      </c>
      <c r="E229" s="71" t="s">
        <v>319</v>
      </c>
      <c r="F229" s="2"/>
      <c r="G229" s="2"/>
    </row>
    <row r="230" spans="1:28">
      <c r="A230" s="21"/>
      <c r="B230" s="2" t="s">
        <v>320</v>
      </c>
      <c r="C230" s="2" t="s">
        <v>321</v>
      </c>
      <c r="D230" s="54">
        <v>25</v>
      </c>
      <c r="E230" s="71" t="s">
        <v>322</v>
      </c>
      <c r="F230" s="2"/>
      <c r="G230" s="2"/>
    </row>
    <row r="231" spans="1:28">
      <c r="A231" s="41"/>
      <c r="B231" s="2"/>
      <c r="C231" s="2"/>
      <c r="D231" s="2"/>
      <c r="E231" s="27"/>
      <c r="F231" s="2"/>
      <c r="G231" s="2"/>
    </row>
    <row r="232" spans="1:28">
      <c r="A232" s="41"/>
      <c r="B232" s="15" t="s">
        <v>35</v>
      </c>
      <c r="C232" s="2"/>
      <c r="D232" s="2"/>
      <c r="E232" s="27"/>
      <c r="F232" s="2"/>
      <c r="G232" s="2"/>
    </row>
    <row r="233" spans="1:28">
      <c r="A233" s="41"/>
      <c r="B233" s="11" t="s">
        <v>323</v>
      </c>
      <c r="C233" s="11" t="s">
        <v>223</v>
      </c>
      <c r="D233" s="11">
        <v>8736</v>
      </c>
      <c r="E233" s="232" t="s">
        <v>324</v>
      </c>
      <c r="F233" s="68"/>
      <c r="G233" s="42"/>
    </row>
    <row r="234" spans="1:28">
      <c r="A234" s="41"/>
      <c r="B234" s="11" t="s">
        <v>325</v>
      </c>
      <c r="C234" s="11" t="s">
        <v>326</v>
      </c>
      <c r="D234" s="11">
        <f>$D$233/$D$229/$D$230</f>
        <v>3.1982427237781434E-2</v>
      </c>
      <c r="E234" s="132" t="s">
        <v>29</v>
      </c>
      <c r="F234" s="104"/>
      <c r="G234" s="42"/>
    </row>
    <row r="235" spans="1:28" ht="16.5" customHeight="1">
      <c r="A235" s="41"/>
      <c r="B235" s="10" t="s">
        <v>327</v>
      </c>
      <c r="C235" s="15" t="s">
        <v>248</v>
      </c>
      <c r="D235" s="36">
        <f>D234*'Unit Conversions'!$D$40</f>
        <v>2763.2817133443159</v>
      </c>
      <c r="E235" s="207" t="s">
        <v>29</v>
      </c>
      <c r="F235" s="42"/>
      <c r="G235" s="42"/>
    </row>
    <row r="236" spans="1:28">
      <c r="A236" s="41"/>
      <c r="B236" s="2"/>
      <c r="C236" s="2"/>
      <c r="D236" s="2"/>
      <c r="E236" s="27"/>
      <c r="F236" s="2"/>
      <c r="G236" s="2"/>
    </row>
    <row r="237" spans="1:28">
      <c r="A237" s="41"/>
      <c r="B237" s="15" t="s">
        <v>45</v>
      </c>
      <c r="C237" s="2"/>
      <c r="D237" s="2"/>
      <c r="E237" s="27"/>
      <c r="F237" s="2"/>
      <c r="G237" s="2"/>
    </row>
    <row r="238" spans="1:28">
      <c r="A238" s="41"/>
      <c r="B238" s="2" t="s">
        <v>328</v>
      </c>
      <c r="C238" s="2" t="s">
        <v>329</v>
      </c>
      <c r="D238" s="54">
        <v>2250000000</v>
      </c>
      <c r="E238" s="71" t="s">
        <v>315</v>
      </c>
      <c r="F238" s="2"/>
      <c r="G238" s="2"/>
      <c r="I238" s="4"/>
      <c r="J238" s="4"/>
      <c r="K238" s="4"/>
      <c r="L238" s="4"/>
      <c r="M238" s="4"/>
      <c r="N238" s="4"/>
      <c r="O238" s="4"/>
      <c r="P238" s="4"/>
      <c r="Q238" s="4"/>
      <c r="R238" s="4"/>
      <c r="S238" s="4"/>
      <c r="T238" s="4"/>
      <c r="U238" s="4"/>
      <c r="V238" s="4"/>
      <c r="W238" s="4"/>
      <c r="X238" s="4"/>
      <c r="Y238" s="4"/>
      <c r="Z238" s="4"/>
      <c r="AA238" s="4"/>
      <c r="AB238" s="4"/>
    </row>
    <row r="239" spans="1:28" s="4" customFormat="1">
      <c r="A239" s="95"/>
      <c r="B239" s="54" t="s">
        <v>330</v>
      </c>
      <c r="C239" s="54" t="s">
        <v>331</v>
      </c>
      <c r="D239" s="54">
        <v>4</v>
      </c>
      <c r="E239" s="71" t="s">
        <v>332</v>
      </c>
      <c r="F239" s="54"/>
      <c r="G239" s="54"/>
    </row>
    <row r="240" spans="1:28">
      <c r="A240" s="41"/>
      <c r="B240" s="2" t="s">
        <v>333</v>
      </c>
      <c r="C240" s="2" t="s">
        <v>334</v>
      </c>
      <c r="D240" s="2">
        <f>($D$238/5)/$D$228</f>
        <v>1.5202702702702702</v>
      </c>
      <c r="E240" s="125" t="s">
        <v>29</v>
      </c>
      <c r="F240" s="2"/>
      <c r="G240" s="2"/>
      <c r="I240" s="4"/>
      <c r="J240" s="4"/>
      <c r="K240" s="4"/>
      <c r="L240" s="4"/>
      <c r="M240" s="4"/>
      <c r="N240" s="4"/>
      <c r="O240" s="4"/>
      <c r="P240" s="4"/>
      <c r="Q240" s="4"/>
      <c r="R240" s="4"/>
      <c r="S240" s="4"/>
      <c r="T240" s="4"/>
      <c r="U240" s="4"/>
      <c r="V240" s="4"/>
      <c r="W240" s="4"/>
      <c r="X240" s="4"/>
      <c r="Y240" s="4"/>
      <c r="Z240" s="4"/>
      <c r="AA240" s="4"/>
      <c r="AB240" s="4"/>
    </row>
    <row r="241" spans="1:28">
      <c r="A241" s="41"/>
      <c r="B241" s="2" t="s">
        <v>335</v>
      </c>
      <c r="C241" s="2" t="s">
        <v>336</v>
      </c>
      <c r="D241" s="2">
        <f>'Unit Conversions'!$D$42*('Unit Conversions'!$D$43*'Unit Conversions'!$D$24/'Unit Conversions'!$D$23)</f>
        <v>620.07874015748041</v>
      </c>
      <c r="E241" s="27" t="s">
        <v>29</v>
      </c>
      <c r="F241" s="2"/>
      <c r="G241" s="2"/>
      <c r="I241" s="4"/>
      <c r="J241" s="4"/>
      <c r="K241" s="4"/>
      <c r="L241" s="4"/>
      <c r="M241" s="4"/>
      <c r="N241" s="4"/>
      <c r="O241" s="4"/>
      <c r="P241" s="4"/>
      <c r="Q241" s="4"/>
      <c r="R241" s="4"/>
      <c r="S241" s="4"/>
      <c r="T241" s="4"/>
      <c r="U241" s="4"/>
      <c r="V241" s="4"/>
      <c r="W241" s="4"/>
      <c r="X241" s="4"/>
      <c r="Y241" s="4"/>
      <c r="Z241" s="4"/>
      <c r="AA241" s="4"/>
      <c r="AB241" s="4"/>
    </row>
    <row r="242" spans="1:28">
      <c r="A242" s="41"/>
      <c r="B242" s="10" t="s">
        <v>337</v>
      </c>
      <c r="C242" s="15" t="s">
        <v>338</v>
      </c>
      <c r="D242" s="15">
        <f>$D$240*$D$241</f>
        <v>942.68727388806133</v>
      </c>
      <c r="E242" s="29" t="s">
        <v>29</v>
      </c>
      <c r="F242" s="2"/>
      <c r="G242" s="2"/>
      <c r="I242" s="4"/>
      <c r="J242" s="4"/>
      <c r="K242" s="4"/>
      <c r="L242" s="4"/>
      <c r="M242" s="4"/>
      <c r="N242" s="4"/>
      <c r="O242" s="4"/>
      <c r="P242" s="4"/>
      <c r="Q242" s="4"/>
      <c r="R242" s="4"/>
      <c r="S242" s="4"/>
      <c r="T242" s="4"/>
      <c r="U242" s="4"/>
      <c r="V242" s="4"/>
      <c r="W242" s="4"/>
      <c r="X242" s="4"/>
      <c r="Y242" s="4"/>
      <c r="Z242" s="4"/>
      <c r="AA242" s="4"/>
      <c r="AB242" s="4"/>
    </row>
    <row r="243" spans="1:28">
      <c r="A243" s="41"/>
      <c r="B243" s="15"/>
      <c r="C243" s="15"/>
      <c r="D243" s="15"/>
      <c r="E243" s="29"/>
      <c r="F243" s="2"/>
      <c r="G243" s="2"/>
      <c r="I243" s="4"/>
      <c r="J243" s="4"/>
      <c r="K243" s="4"/>
      <c r="L243" s="4"/>
      <c r="M243" s="4"/>
      <c r="N243" s="4"/>
      <c r="O243" s="4"/>
      <c r="P243" s="4"/>
      <c r="Q243" s="4"/>
      <c r="R243" s="4"/>
      <c r="S243" s="4"/>
      <c r="T243" s="4"/>
      <c r="U243" s="4"/>
      <c r="V243" s="4"/>
      <c r="W243" s="4"/>
      <c r="X243" s="4"/>
      <c r="Y243" s="4"/>
      <c r="Z243" s="4"/>
      <c r="AA243" s="4"/>
      <c r="AB243" s="4"/>
    </row>
    <row r="244" spans="1:28">
      <c r="A244" s="41"/>
      <c r="B244" s="15" t="s">
        <v>253</v>
      </c>
      <c r="C244" s="10"/>
      <c r="D244" s="10"/>
      <c r="E244" s="27"/>
      <c r="F244" s="2"/>
      <c r="G244" s="2"/>
      <c r="I244" s="4"/>
      <c r="J244" s="4"/>
      <c r="K244" s="4"/>
      <c r="L244" s="4"/>
      <c r="M244" s="4"/>
      <c r="N244" s="4"/>
      <c r="O244" s="4"/>
      <c r="P244" s="4"/>
      <c r="Q244" s="4"/>
      <c r="R244" s="4"/>
      <c r="S244" s="4"/>
      <c r="T244" s="4"/>
      <c r="U244" s="4"/>
      <c r="V244" s="4"/>
      <c r="W244" s="4"/>
      <c r="X244" s="4"/>
      <c r="Y244" s="4"/>
      <c r="Z244" s="4"/>
      <c r="AA244" s="4"/>
      <c r="AB244" s="4"/>
    </row>
    <row r="245" spans="1:28">
      <c r="A245" s="41"/>
      <c r="B245" s="10" t="s">
        <v>339</v>
      </c>
      <c r="C245" s="10" t="s">
        <v>340</v>
      </c>
      <c r="D245" s="204">
        <v>335.83</v>
      </c>
      <c r="E245" s="232" t="s">
        <v>341</v>
      </c>
      <c r="F245" s="2"/>
      <c r="G245" s="2"/>
      <c r="I245" s="4"/>
      <c r="J245" s="4"/>
      <c r="K245" s="4"/>
      <c r="L245" s="4"/>
      <c r="M245" s="4"/>
      <c r="N245" s="4"/>
      <c r="O245" s="4"/>
      <c r="P245" s="4"/>
      <c r="Q245" s="4"/>
      <c r="R245" s="4"/>
      <c r="S245" s="4"/>
      <c r="T245" s="4"/>
      <c r="U245" s="4"/>
      <c r="V245" s="4"/>
      <c r="W245" s="4"/>
      <c r="X245" s="4"/>
      <c r="Y245" s="4"/>
      <c r="Z245" s="4"/>
      <c r="AA245" s="4"/>
      <c r="AB245" s="4"/>
    </row>
    <row r="246" spans="1:28">
      <c r="A246" s="41"/>
      <c r="B246" s="10" t="s">
        <v>342</v>
      </c>
      <c r="C246" s="10" t="s">
        <v>343</v>
      </c>
      <c r="D246" s="204">
        <f>$D$245/$D$229/$D$230</f>
        <v>1.2294709866373787E-3</v>
      </c>
      <c r="E246" s="208" t="s">
        <v>29</v>
      </c>
      <c r="F246" s="54"/>
      <c r="G246" s="54"/>
      <c r="H246" s="4"/>
      <c r="I246" s="4"/>
      <c r="J246" s="4"/>
      <c r="K246" s="4"/>
      <c r="L246" s="4"/>
      <c r="M246" s="4"/>
      <c r="N246" s="4"/>
      <c r="O246" s="4"/>
      <c r="P246" s="4"/>
      <c r="Q246" s="4"/>
      <c r="R246" s="4"/>
      <c r="S246" s="4"/>
      <c r="T246" s="4"/>
      <c r="U246" s="4"/>
      <c r="V246" s="4"/>
      <c r="W246" s="4"/>
      <c r="X246" s="4"/>
      <c r="Y246" s="4"/>
      <c r="Z246" s="4"/>
      <c r="AA246" s="4"/>
      <c r="AB246" s="4"/>
    </row>
    <row r="247" spans="1:28" ht="18.75" customHeight="1">
      <c r="A247" s="41"/>
      <c r="B247" s="10" t="s">
        <v>344</v>
      </c>
      <c r="C247" s="15" t="s">
        <v>345</v>
      </c>
      <c r="D247" s="115">
        <f>$D$246*'Unit Conversions'!$D$40</f>
        <v>106.22629324546952</v>
      </c>
      <c r="E247" s="207" t="s">
        <v>29</v>
      </c>
      <c r="F247" s="2"/>
      <c r="G247" s="2"/>
      <c r="I247" s="4"/>
      <c r="J247" s="4"/>
      <c r="K247" s="4"/>
      <c r="L247" s="4"/>
      <c r="M247" s="4"/>
      <c r="N247" s="4"/>
      <c r="O247" s="4"/>
      <c r="P247" s="4"/>
      <c r="Q247" s="4"/>
      <c r="R247" s="4"/>
      <c r="S247" s="4"/>
      <c r="T247" s="4"/>
      <c r="U247" s="4"/>
      <c r="V247" s="4"/>
      <c r="W247" s="4"/>
      <c r="X247" s="4"/>
      <c r="Y247" s="4"/>
      <c r="Z247" s="4"/>
      <c r="AA247" s="4"/>
      <c r="AB247" s="4"/>
    </row>
    <row r="248" spans="1:28">
      <c r="A248" s="41"/>
      <c r="B248" s="15"/>
      <c r="C248" s="15"/>
      <c r="D248" s="36"/>
      <c r="E248" s="207"/>
      <c r="F248" s="2"/>
      <c r="G248" s="2"/>
      <c r="I248" s="4"/>
      <c r="J248" s="4"/>
      <c r="K248" s="4"/>
      <c r="L248" s="4"/>
      <c r="M248" s="4"/>
      <c r="N248" s="4"/>
      <c r="O248" s="4"/>
      <c r="P248" s="4"/>
      <c r="Q248" s="4"/>
      <c r="R248" s="4"/>
      <c r="S248" s="4"/>
      <c r="T248" s="4"/>
      <c r="U248" s="4"/>
      <c r="V248" s="4"/>
      <c r="W248" s="4"/>
      <c r="X248" s="4"/>
      <c r="Y248" s="4"/>
      <c r="Z248" s="4"/>
      <c r="AA248" s="4"/>
      <c r="AB248" s="4"/>
    </row>
    <row r="249" spans="1:28">
      <c r="A249" s="41"/>
      <c r="B249" s="15" t="s">
        <v>59</v>
      </c>
      <c r="C249" s="2"/>
      <c r="D249" s="2"/>
      <c r="E249" s="27"/>
      <c r="F249" s="2"/>
      <c r="G249" s="2"/>
      <c r="I249" s="4"/>
      <c r="J249" s="4"/>
      <c r="K249" s="4"/>
      <c r="L249" s="4"/>
      <c r="M249" s="4"/>
      <c r="N249" s="4"/>
      <c r="O249" s="4"/>
      <c r="P249" s="4"/>
      <c r="Q249" s="4"/>
      <c r="R249" s="4"/>
      <c r="S249" s="4"/>
      <c r="T249" s="4"/>
      <c r="U249" s="4"/>
      <c r="V249" s="4"/>
      <c r="W249" s="4"/>
      <c r="X249" s="4"/>
      <c r="Y249" s="4"/>
      <c r="Z249" s="4"/>
      <c r="AA249" s="4"/>
      <c r="AB249" s="4"/>
    </row>
    <row r="250" spans="1:28">
      <c r="A250" s="41"/>
      <c r="B250" s="2" t="s">
        <v>346</v>
      </c>
      <c r="C250" s="2" t="s">
        <v>347</v>
      </c>
      <c r="D250" s="54">
        <v>8842482</v>
      </c>
      <c r="E250" s="71" t="s">
        <v>315</v>
      </c>
      <c r="F250" s="2"/>
      <c r="G250" s="2"/>
      <c r="I250" s="4"/>
      <c r="J250" s="4"/>
      <c r="K250" s="4"/>
      <c r="L250" s="4"/>
      <c r="M250" s="4"/>
      <c r="N250" s="4"/>
      <c r="O250" s="4"/>
      <c r="P250" s="4"/>
      <c r="Q250" s="4"/>
      <c r="R250" s="4"/>
      <c r="S250" s="4"/>
      <c r="T250" s="4"/>
      <c r="U250" s="4"/>
      <c r="V250" s="4"/>
      <c r="W250" s="4"/>
      <c r="X250" s="4"/>
      <c r="Y250" s="4"/>
      <c r="Z250" s="4"/>
      <c r="AA250" s="4"/>
      <c r="AB250" s="4"/>
    </row>
    <row r="251" spans="1:28">
      <c r="A251" s="41"/>
      <c r="B251" s="98" t="s">
        <v>348</v>
      </c>
      <c r="C251" s="54" t="s">
        <v>65</v>
      </c>
      <c r="D251" s="54">
        <f>$D$250*'Unit Conversions'!$D$10</f>
        <v>4010879.095344</v>
      </c>
      <c r="E251" s="209" t="s">
        <v>29</v>
      </c>
      <c r="F251" s="54"/>
      <c r="G251" s="54"/>
      <c r="I251" s="4"/>
      <c r="J251" s="4"/>
      <c r="K251" s="4"/>
      <c r="L251" s="4"/>
      <c r="M251" s="4"/>
      <c r="N251" s="4"/>
      <c r="O251" s="4"/>
      <c r="P251" s="4"/>
      <c r="Q251" s="4"/>
      <c r="R251" s="4"/>
      <c r="S251" s="4"/>
      <c r="T251" s="4"/>
      <c r="U251" s="4"/>
      <c r="V251" s="4"/>
      <c r="W251" s="4"/>
      <c r="X251" s="4"/>
      <c r="Y251" s="4"/>
      <c r="Z251" s="4"/>
      <c r="AA251" s="4"/>
      <c r="AB251" s="4"/>
    </row>
    <row r="252" spans="1:28" s="4" customFormat="1">
      <c r="A252" s="95"/>
      <c r="B252" s="54" t="s">
        <v>349</v>
      </c>
      <c r="C252" s="54" t="s">
        <v>350</v>
      </c>
      <c r="D252" s="54">
        <f>$D$227</f>
        <v>4416000000</v>
      </c>
      <c r="E252" s="71" t="s">
        <v>315</v>
      </c>
      <c r="F252" s="54"/>
      <c r="G252" s="54"/>
    </row>
    <row r="253" spans="1:28">
      <c r="A253" s="41"/>
      <c r="B253" s="2" t="s">
        <v>351</v>
      </c>
      <c r="C253" s="2" t="s">
        <v>352</v>
      </c>
      <c r="D253" s="2">
        <f>$D$251/$D$252</f>
        <v>9.0826066470652174E-4</v>
      </c>
      <c r="E253" s="27" t="s">
        <v>29</v>
      </c>
      <c r="F253" s="2"/>
      <c r="G253" s="2"/>
      <c r="I253" s="4"/>
      <c r="J253" s="4"/>
      <c r="K253" s="4"/>
      <c r="L253" s="4"/>
      <c r="M253" s="4"/>
      <c r="N253" s="4"/>
      <c r="O253" s="4"/>
      <c r="P253" s="4"/>
      <c r="Q253" s="4"/>
      <c r="R253" s="4"/>
      <c r="S253" s="4"/>
      <c r="T253" s="4"/>
      <c r="U253" s="4"/>
      <c r="V253" s="4"/>
      <c r="W253" s="4"/>
      <c r="X253" s="4"/>
      <c r="Y253" s="4"/>
      <c r="Z253" s="4"/>
      <c r="AA253" s="4"/>
      <c r="AB253" s="4"/>
    </row>
    <row r="254" spans="1:28">
      <c r="A254" s="41"/>
      <c r="B254" s="2" t="s">
        <v>353</v>
      </c>
      <c r="C254" s="2" t="s">
        <v>336</v>
      </c>
      <c r="D254" s="2">
        <f>'Unit Conversions'!D42*('Unit Conversions'!D43*'Unit Conversions'!D24/'Unit Conversions'!D23)</f>
        <v>620.07874015748041</v>
      </c>
      <c r="E254" s="27" t="s">
        <v>29</v>
      </c>
      <c r="F254" s="2"/>
      <c r="G254" s="2"/>
      <c r="I254" s="4"/>
      <c r="J254" s="4"/>
      <c r="K254" s="4"/>
      <c r="L254" s="4"/>
      <c r="M254" s="4"/>
      <c r="N254" s="4"/>
      <c r="O254" s="4"/>
      <c r="P254" s="4"/>
      <c r="Q254" s="4"/>
      <c r="R254" s="4"/>
      <c r="S254" s="4"/>
      <c r="T254" s="4"/>
      <c r="U254" s="4"/>
      <c r="V254" s="4"/>
      <c r="W254" s="4"/>
      <c r="X254" s="4"/>
      <c r="Y254" s="4"/>
      <c r="Z254" s="4"/>
      <c r="AA254" s="4"/>
      <c r="AB254" s="4"/>
    </row>
    <row r="255" spans="1:28">
      <c r="A255" s="41"/>
      <c r="B255" s="10" t="s">
        <v>354</v>
      </c>
      <c r="C255" s="15" t="s">
        <v>246</v>
      </c>
      <c r="D255" s="15">
        <f>$D$253*$D$254</f>
        <v>0.56319312870581573</v>
      </c>
      <c r="E255" s="29" t="s">
        <v>29</v>
      </c>
      <c r="F255" s="2"/>
      <c r="G255" s="2"/>
    </row>
    <row r="256" spans="1:28">
      <c r="A256" s="41"/>
      <c r="B256" s="15"/>
      <c r="C256" s="2"/>
      <c r="D256" s="54"/>
      <c r="E256" s="210"/>
      <c r="F256" s="2"/>
      <c r="G256" s="2"/>
    </row>
    <row r="257" spans="1:7">
      <c r="A257" s="41"/>
      <c r="B257" s="15" t="s">
        <v>355</v>
      </c>
      <c r="C257" s="2"/>
      <c r="D257" s="2"/>
      <c r="E257" s="27"/>
      <c r="F257" s="2"/>
      <c r="G257" s="2"/>
    </row>
    <row r="258" spans="1:7">
      <c r="A258" s="41"/>
      <c r="B258" s="15" t="s">
        <v>179</v>
      </c>
      <c r="C258" s="15" t="s">
        <v>184</v>
      </c>
      <c r="D258" s="15">
        <f>$D$235</f>
        <v>2763.2817133443159</v>
      </c>
      <c r="E258" s="27" t="s">
        <v>29</v>
      </c>
      <c r="F258" s="2"/>
      <c r="G258" s="2"/>
    </row>
    <row r="259" spans="1:7">
      <c r="A259" s="41"/>
      <c r="B259" s="15" t="s">
        <v>180</v>
      </c>
      <c r="C259" s="15" t="s">
        <v>186</v>
      </c>
      <c r="D259" s="15">
        <f>$D$242</f>
        <v>942.68727388806133</v>
      </c>
      <c r="E259" s="27" t="s">
        <v>29</v>
      </c>
      <c r="F259" s="2"/>
      <c r="G259" s="2"/>
    </row>
    <row r="260" spans="1:7">
      <c r="A260" s="41"/>
      <c r="B260" s="15" t="s">
        <v>181</v>
      </c>
      <c r="C260" s="15" t="s">
        <v>356</v>
      </c>
      <c r="D260" s="114">
        <f>$D$247</f>
        <v>106.22629324546952</v>
      </c>
      <c r="E260" s="27" t="s">
        <v>29</v>
      </c>
      <c r="F260" s="2"/>
      <c r="G260" s="2"/>
    </row>
    <row r="261" spans="1:7">
      <c r="A261" s="39"/>
      <c r="B261" s="17" t="s">
        <v>182</v>
      </c>
      <c r="C261" s="17" t="s">
        <v>357</v>
      </c>
      <c r="D261" s="17">
        <f>$D$255</f>
        <v>0.56319312870581573</v>
      </c>
      <c r="E261" s="32" t="s">
        <v>29</v>
      </c>
      <c r="F261" s="2"/>
      <c r="G261" s="2"/>
    </row>
    <row r="262" spans="1:7">
      <c r="E262" s="3"/>
    </row>
    <row r="263" spans="1:7">
      <c r="A263" s="45" t="s">
        <v>358</v>
      </c>
      <c r="B263" s="19"/>
      <c r="C263" s="19"/>
      <c r="D263" s="19"/>
      <c r="E263" s="20" t="s">
        <v>359</v>
      </c>
      <c r="F263" s="2"/>
      <c r="G263" s="2"/>
    </row>
    <row r="264" spans="1:7">
      <c r="A264" s="88">
        <v>41275</v>
      </c>
      <c r="B264" s="82">
        <v>31.06</v>
      </c>
      <c r="C264" s="83">
        <v>-2.5399999999999999E-2</v>
      </c>
      <c r="D264" s="2"/>
      <c r="E264" s="18"/>
      <c r="F264" s="2"/>
      <c r="G264" s="2"/>
    </row>
    <row r="265" spans="1:7">
      <c r="A265" s="88">
        <v>41306</v>
      </c>
      <c r="B265" s="82">
        <v>30.33</v>
      </c>
      <c r="C265" s="83">
        <v>-2.35E-2</v>
      </c>
      <c r="D265" s="2"/>
      <c r="E265" s="25"/>
      <c r="F265" s="2"/>
      <c r="G265" s="2"/>
    </row>
    <row r="266" spans="1:7">
      <c r="A266" s="88">
        <v>41334</v>
      </c>
      <c r="B266" s="82">
        <v>28.79</v>
      </c>
      <c r="C266" s="83">
        <v>-5.0799999999999998E-2</v>
      </c>
      <c r="D266" s="2"/>
      <c r="E266" s="25"/>
      <c r="F266" s="2"/>
      <c r="G266" s="2"/>
    </row>
    <row r="267" spans="1:7">
      <c r="A267" s="88">
        <v>41365</v>
      </c>
      <c r="B267" s="82">
        <v>25.36</v>
      </c>
      <c r="C267" s="83">
        <v>-0.1191</v>
      </c>
      <c r="D267" s="2"/>
      <c r="E267" s="25"/>
      <c r="F267" s="2"/>
      <c r="G267" s="2"/>
    </row>
    <row r="268" spans="1:7">
      <c r="A268" s="88">
        <v>41395</v>
      </c>
      <c r="B268" s="82">
        <v>23.04</v>
      </c>
      <c r="C268" s="83">
        <v>-9.1499999999999998E-2</v>
      </c>
      <c r="D268" s="2"/>
      <c r="E268" s="25"/>
      <c r="F268" s="2"/>
      <c r="G268" s="2"/>
    </row>
    <row r="269" spans="1:7">
      <c r="A269" s="88">
        <v>41426</v>
      </c>
      <c r="B269" s="82">
        <v>21.11</v>
      </c>
      <c r="C269" s="83">
        <v>-8.3799999999999999E-2</v>
      </c>
      <c r="D269" s="2"/>
      <c r="E269" s="25"/>
      <c r="F269" s="2"/>
      <c r="G269" s="2"/>
    </row>
    <row r="270" spans="1:7">
      <c r="A270" s="88">
        <v>41456</v>
      </c>
      <c r="B270" s="82">
        <v>19.71</v>
      </c>
      <c r="C270" s="83">
        <v>-6.6299999999999998E-2</v>
      </c>
      <c r="D270" s="2"/>
      <c r="E270" s="25"/>
      <c r="F270" s="2"/>
      <c r="G270" s="2"/>
    </row>
    <row r="271" spans="1:7">
      <c r="A271" s="88">
        <v>41487</v>
      </c>
      <c r="B271" s="82">
        <v>21.89</v>
      </c>
      <c r="C271" s="83">
        <v>0.1106</v>
      </c>
      <c r="D271" s="2"/>
      <c r="E271" s="25"/>
      <c r="F271" s="2"/>
      <c r="G271" s="2"/>
    </row>
    <row r="272" spans="1:7">
      <c r="A272" s="88">
        <v>41518</v>
      </c>
      <c r="B272" s="82">
        <v>22.56</v>
      </c>
      <c r="C272" s="83">
        <v>3.0599999999999999E-2</v>
      </c>
      <c r="D272" s="2"/>
      <c r="E272" s="25"/>
      <c r="F272" s="2"/>
      <c r="G272" s="2"/>
    </row>
    <row r="273" spans="1:7">
      <c r="A273" s="88">
        <v>41548</v>
      </c>
      <c r="B273" s="82">
        <v>21.92</v>
      </c>
      <c r="C273" s="83">
        <v>-2.8400000000000002E-2</v>
      </c>
      <c r="D273" s="2"/>
      <c r="E273" s="25"/>
      <c r="F273" s="2"/>
      <c r="G273" s="2"/>
    </row>
    <row r="274" spans="1:7">
      <c r="A274" s="88">
        <v>41579</v>
      </c>
      <c r="B274" s="82">
        <v>20.76</v>
      </c>
      <c r="C274" s="83">
        <v>-5.2900000000000003E-2</v>
      </c>
      <c r="D274" s="2"/>
      <c r="E274" s="25"/>
      <c r="F274" s="2"/>
      <c r="G274" s="2"/>
    </row>
    <row r="275" spans="1:7">
      <c r="A275" s="88">
        <v>41609</v>
      </c>
      <c r="B275" s="82">
        <v>19.670000000000002</v>
      </c>
      <c r="C275" s="83">
        <v>-5.2499999999999998E-2</v>
      </c>
      <c r="D275" s="2"/>
      <c r="E275" s="25"/>
      <c r="F275" s="2"/>
      <c r="G275" s="2"/>
    </row>
    <row r="276" spans="1:7">
      <c r="A276" s="89" t="s">
        <v>360</v>
      </c>
      <c r="B276" s="15">
        <f>SUM($B$264:$B$275)</f>
        <v>286.20000000000005</v>
      </c>
      <c r="C276" s="2"/>
      <c r="D276" s="2"/>
      <c r="E276" s="25"/>
      <c r="F276" s="2"/>
      <c r="G276" s="2"/>
    </row>
    <row r="277" spans="1:7">
      <c r="A277" s="90" t="s">
        <v>361</v>
      </c>
      <c r="B277" s="17">
        <f>$B$276/12</f>
        <v>23.850000000000005</v>
      </c>
      <c r="C277" s="40"/>
      <c r="D277" s="40"/>
      <c r="E277" s="25"/>
      <c r="F277" s="2"/>
      <c r="G277" s="2"/>
    </row>
    <row r="279" spans="1:7">
      <c r="A279" s="84"/>
      <c r="B279" s="85"/>
      <c r="C279" s="86"/>
    </row>
    <row r="280" spans="1:7">
      <c r="A280" s="84"/>
      <c r="B280" s="85"/>
      <c r="C280" s="86"/>
    </row>
    <row r="281" spans="1:7">
      <c r="A281" s="84"/>
      <c r="B281" s="85"/>
      <c r="C281" s="86"/>
    </row>
    <row r="282" spans="1:7">
      <c r="A282" s="84"/>
      <c r="B282" s="85"/>
      <c r="C282" s="86"/>
    </row>
    <row r="283" spans="1:7">
      <c r="A283" s="84"/>
      <c r="B283" s="85"/>
      <c r="C283" s="86"/>
    </row>
    <row r="284" spans="1:7">
      <c r="A284" s="84"/>
      <c r="B284" s="85"/>
      <c r="C284" s="86"/>
    </row>
    <row r="285" spans="1:7">
      <c r="A285" s="84"/>
      <c r="B285" s="85"/>
      <c r="C285" s="86"/>
    </row>
    <row r="286" spans="1:7">
      <c r="A286" s="84"/>
      <c r="B286" s="85"/>
      <c r="C286" s="86"/>
    </row>
    <row r="287" spans="1:7">
      <c r="A287" s="84"/>
      <c r="B287" s="85"/>
      <c r="C287" s="86"/>
    </row>
    <row r="288" spans="1:7">
      <c r="A288" s="54"/>
      <c r="B288" s="54"/>
      <c r="C288" s="54"/>
    </row>
    <row r="289" spans="1:3">
      <c r="A289" s="54"/>
      <c r="B289" s="54"/>
      <c r="C289" s="54"/>
    </row>
    <row r="290" spans="1:3">
      <c r="A290" s="54"/>
      <c r="B290" s="54"/>
      <c r="C290" s="54"/>
    </row>
    <row r="291" spans="1:3">
      <c r="A291" s="54"/>
      <c r="B291" s="54"/>
      <c r="C291" s="54"/>
    </row>
    <row r="292" spans="1:3">
      <c r="A292" s="54"/>
      <c r="B292" s="54"/>
      <c r="C292" s="54"/>
    </row>
  </sheetData>
  <sheetProtection algorithmName="SHA-512" hashValue="bXnHjpabgV3rLNMTsiAjx5AY/OPZJoX80mgUAQyXGg6cadiSgl/6v4BN/Pz7Vuz9w7fRxplo/SHP+9MgAiedpA==" saltValue="oLUlGKU3wjnN9Binn0/Peg==" spinCount="100000" sheet="1" objects="1" scenarios="1" selectLockedCells="1" selectUnlockedCells="1"/>
  <hyperlinks>
    <hyperlink ref="E4" r:id="rId1" xr:uid="{4FC4B7F3-BB8F-4F1B-988B-5FDE5991F827}"/>
    <hyperlink ref="E6" r:id="rId2" xr:uid="{9FF7A04F-8AE0-4C1C-ADA6-0C769F0BE421}"/>
    <hyperlink ref="E7" r:id="rId3" xr:uid="{D6F2F8D9-C60C-48B1-A1ED-D50060E487E9}"/>
    <hyperlink ref="E11" r:id="rId4" xr:uid="{811BCA5E-3DC4-47F3-83FA-E025ECCAA3C5}"/>
    <hyperlink ref="E17" r:id="rId5" xr:uid="{578727FD-3B2F-467D-86DD-875EB248D4C9}"/>
    <hyperlink ref="E23" r:id="rId6" xr:uid="{F26CD79E-0C1C-4146-908E-6B480E4F5A76}"/>
    <hyperlink ref="E27" r:id="rId7" xr:uid="{226EFF53-D2A9-4BCD-B7D8-357B47FCE8F5}"/>
    <hyperlink ref="E28" r:id="rId8" xr:uid="{77B8C3F0-50BA-4612-A9BC-82DCAAFEB30F}"/>
    <hyperlink ref="E30" r:id="rId9" xr:uid="{BAD4D11F-1AE4-4A84-97A1-16A6131D5B6D}"/>
    <hyperlink ref="E31:E32" r:id="rId10" display="LF" xr:uid="{51FAC3F5-848D-4CBD-8EE0-00C2F888B513}"/>
    <hyperlink ref="E40" r:id="rId11" xr:uid="{78A1834A-CAAA-409F-943D-1D118C54EAE5}"/>
    <hyperlink ref="F55" r:id="rId12" xr:uid="{BB3BB96E-2C02-433F-8716-0873E14E1617}"/>
    <hyperlink ref="E57" r:id="rId13" xr:uid="{295E8DBB-6865-498D-8E84-F35C9F9478DD}"/>
    <hyperlink ref="E94" r:id="rId14" xr:uid="{189197AD-49C8-4940-8F09-F4D4F7D863F7}"/>
    <hyperlink ref="E140:E146" r:id="rId15" display="EKCAR" xr:uid="{04BA7CA1-C779-492D-95F7-5C5D3FD93E74}"/>
    <hyperlink ref="E149" r:id="rId16" xr:uid="{B5C574EA-A1D5-4A2E-835C-53797262F388}"/>
    <hyperlink ref="E157" r:id="rId17" xr:uid="{94B9E03F-80C2-4A6B-9F21-16B12B1C118E}"/>
    <hyperlink ref="E165" r:id="rId18" xr:uid="{A52EEB00-A922-4A7F-B7B1-38A250A09BB0}"/>
    <hyperlink ref="E173" r:id="rId19" xr:uid="{8623734E-78EB-4F2A-961F-F2832A005D0A}"/>
    <hyperlink ref="E188" r:id="rId20" xr:uid="{C0D3084B-6E1F-42AE-98A4-8DF8C2F23CEB}"/>
    <hyperlink ref="E207" r:id="rId21" xr:uid="{5F98FD35-D18C-480E-9573-A5D284770C0E}"/>
    <hyperlink ref="F208" r:id="rId22" xr:uid="{7F6826D6-1E49-4B47-9650-98E92E1BC53B}"/>
    <hyperlink ref="E227" r:id="rId23" xr:uid="{856C1007-D8FA-4CE7-89AB-F49A3F374D7C}"/>
    <hyperlink ref="E228" r:id="rId24" xr:uid="{7AC96AC0-A5E7-4832-8A6B-C2DA92D20434}"/>
    <hyperlink ref="E229" r:id="rId25" xr:uid="{29054209-E164-4773-B6C7-0564E7C5CBCF}"/>
    <hyperlink ref="E230" r:id="rId26" xr:uid="{0E48A40D-E96A-4367-8877-E7754083FCA6}"/>
    <hyperlink ref="E233" r:id="rId27" xr:uid="{9FBFB165-13E3-4B61-96D0-0686694C6028}"/>
    <hyperlink ref="E238" r:id="rId28" xr:uid="{95D80E7F-9432-4842-B9A3-C4B567C0C111}"/>
    <hyperlink ref="E239" r:id="rId29" xr:uid="{9EBDDEBB-40B5-4306-AB78-6FACC123DE2A}"/>
    <hyperlink ref="E245" r:id="rId30" xr:uid="{65DF14BC-B392-40D8-B32B-B14AC10E20BD}"/>
    <hyperlink ref="E250" r:id="rId31" xr:uid="{613EC4CB-F756-4706-A3BF-C58E6855322E}"/>
    <hyperlink ref="E252" r:id="rId32" xr:uid="{3A594E96-B708-4EFD-9DFA-E53E6CBA3CFB}"/>
    <hyperlink ref="E263" r:id="rId33" xr:uid="{C19A4783-FDEE-40AC-9B93-78E349E9A38D}"/>
    <hyperlink ref="E42" r:id="rId34" xr:uid="{7EA49C9E-CA05-433E-947D-C76816C56F63}"/>
    <hyperlink ref="E43" r:id="rId35" xr:uid="{EBE3D1ED-BC28-47C2-8025-3B94EA6E4894}"/>
    <hyperlink ref="E46" r:id="rId36" xr:uid="{61C74DB9-58EB-4746-B928-F44AC34EA0B4}"/>
    <hyperlink ref="E47" r:id="rId37" xr:uid="{8CF87BEA-3398-425B-92BF-F032F6826CE2}"/>
    <hyperlink ref="E50" r:id="rId38" xr:uid="{D81FE97B-E185-45A8-84F8-3FC90B7D17BE}"/>
    <hyperlink ref="E51" r:id="rId39" xr:uid="{0C1231C9-4248-43D5-95F4-BB9ED92510CF}"/>
    <hyperlink ref="E55" r:id="rId40" xr:uid="{67FF1814-623D-44F0-B535-190522F52341}"/>
  </hyperlinks>
  <pageMargins left="0.7" right="0.7" top="0.75" bottom="0.75" header="0.3" footer="0.3"/>
  <legacyDrawing r:id="rId4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60B32-DA01-473F-B62A-E9177BDD6966}">
  <dimension ref="A1:J88"/>
  <sheetViews>
    <sheetView workbookViewId="0">
      <pane ySplit="1" topLeftCell="A47" activePane="bottomLeft" state="frozen"/>
      <selection pane="bottomLeft" activeCell="B14" sqref="B14"/>
    </sheetView>
  </sheetViews>
  <sheetFormatPr defaultRowHeight="15.75"/>
  <cols>
    <col min="1" max="1" width="42.75" customWidth="1"/>
    <col min="2" max="2" width="49.75" customWidth="1"/>
    <col min="3" max="3" width="16.875" customWidth="1"/>
    <col min="4" max="4" width="13.875" customWidth="1"/>
    <col min="5" max="5" width="9.125" customWidth="1"/>
    <col min="6" max="6" width="9.5" customWidth="1"/>
    <col min="7" max="7" width="11.125" customWidth="1"/>
    <col min="8" max="8" width="10" customWidth="1"/>
    <col min="9" max="9" width="11.75" customWidth="1"/>
    <col min="10" max="10" width="15.5" customWidth="1"/>
  </cols>
  <sheetData>
    <row r="1" spans="1:7">
      <c r="A1" s="6" t="s">
        <v>5</v>
      </c>
      <c r="B1" s="6"/>
      <c r="C1" s="7" t="s">
        <v>15</v>
      </c>
      <c r="D1" s="102" t="s">
        <v>16</v>
      </c>
      <c r="E1" s="7" t="s">
        <v>17</v>
      </c>
      <c r="F1" s="7" t="s">
        <v>18</v>
      </c>
      <c r="G1" s="7" t="s">
        <v>19</v>
      </c>
    </row>
    <row r="2" spans="1:7">
      <c r="A2" s="213" t="s">
        <v>362</v>
      </c>
      <c r="B2" s="6"/>
      <c r="C2" s="7"/>
      <c r="D2" s="102"/>
      <c r="E2" s="7"/>
      <c r="F2" s="7"/>
      <c r="G2" s="7"/>
    </row>
    <row r="3" spans="1:7" ht="17.25" customHeight="1">
      <c r="A3" s="169" t="s">
        <v>363</v>
      </c>
      <c r="B3" s="170" t="s">
        <v>169</v>
      </c>
      <c r="C3" s="171" t="s">
        <v>364</v>
      </c>
      <c r="D3" s="172">
        <v>4.1069999999999998E-5</v>
      </c>
      <c r="E3" s="222" t="s">
        <v>365</v>
      </c>
      <c r="F3" s="220" t="s">
        <v>23</v>
      </c>
      <c r="G3" s="146"/>
    </row>
    <row r="4" spans="1:7" ht="15.75" customHeight="1">
      <c r="A4" s="173"/>
      <c r="B4" s="149" t="s">
        <v>366</v>
      </c>
      <c r="C4" s="149" t="s">
        <v>367</v>
      </c>
      <c r="D4" s="174">
        <f>D3*(D37/120)</f>
        <v>1.9912104999999999E-5</v>
      </c>
      <c r="E4" s="147" t="s">
        <v>29</v>
      </c>
      <c r="F4" s="220" t="s">
        <v>23</v>
      </c>
      <c r="G4" s="146"/>
    </row>
    <row r="5" spans="1:7" ht="31.5">
      <c r="A5" s="175"/>
      <c r="B5" s="149" t="s">
        <v>368</v>
      </c>
      <c r="C5" s="149" t="s">
        <v>369</v>
      </c>
      <c r="D5" s="174">
        <f>D4*'Unit Conversions'!D19</f>
        <v>5.5311447026899998</v>
      </c>
      <c r="E5" s="147" t="s">
        <v>29</v>
      </c>
      <c r="F5" s="220" t="s">
        <v>23</v>
      </c>
      <c r="G5" s="146"/>
    </row>
    <row r="6" spans="1:7" ht="31.5">
      <c r="A6" s="175"/>
      <c r="B6" s="149" t="s">
        <v>370</v>
      </c>
      <c r="C6" s="149" t="s">
        <v>371</v>
      </c>
      <c r="D6" s="174">
        <f>D5*D39</f>
        <v>22.124578810759999</v>
      </c>
      <c r="E6" s="147" t="s">
        <v>29</v>
      </c>
      <c r="F6" s="220" t="s">
        <v>23</v>
      </c>
      <c r="G6" s="146"/>
    </row>
    <row r="7" spans="1:7">
      <c r="A7" s="175"/>
      <c r="B7" s="176" t="s">
        <v>372</v>
      </c>
      <c r="C7" s="177" t="s">
        <v>373</v>
      </c>
      <c r="D7" s="178">
        <v>25</v>
      </c>
      <c r="E7" s="12" t="s">
        <v>374</v>
      </c>
      <c r="F7" s="220" t="s">
        <v>23</v>
      </c>
      <c r="G7" s="146"/>
    </row>
    <row r="8" spans="1:7">
      <c r="A8" s="175"/>
      <c r="B8" s="149" t="s">
        <v>375</v>
      </c>
      <c r="C8" s="147" t="s">
        <v>376</v>
      </c>
      <c r="D8" s="103">
        <v>3</v>
      </c>
      <c r="E8" s="63" t="s">
        <v>377</v>
      </c>
      <c r="F8" s="220" t="s">
        <v>23</v>
      </c>
      <c r="G8" s="146"/>
    </row>
    <row r="9" spans="1:7">
      <c r="A9" s="175"/>
      <c r="B9" s="149" t="s">
        <v>378</v>
      </c>
      <c r="C9" s="147" t="s">
        <v>376</v>
      </c>
      <c r="D9" s="103">
        <v>2</v>
      </c>
      <c r="E9" s="12" t="s">
        <v>379</v>
      </c>
      <c r="F9" s="220" t="s">
        <v>23</v>
      </c>
      <c r="G9" s="146"/>
    </row>
    <row r="10" spans="1:7">
      <c r="A10" s="175"/>
      <c r="B10" s="149" t="s">
        <v>380</v>
      </c>
      <c r="C10" s="147" t="s">
        <v>376</v>
      </c>
      <c r="D10" s="103">
        <f>D8-D9</f>
        <v>1</v>
      </c>
      <c r="E10" s="148" t="s">
        <v>29</v>
      </c>
      <c r="F10" s="220" t="s">
        <v>23</v>
      </c>
      <c r="G10" s="146"/>
    </row>
    <row r="11" spans="1:7">
      <c r="A11" s="175"/>
      <c r="B11" s="149" t="s">
        <v>381</v>
      </c>
      <c r="C11" s="147" t="s">
        <v>382</v>
      </c>
      <c r="D11" s="103">
        <f>D10/'Unit Conversions'!D13</f>
        <v>1E-3</v>
      </c>
      <c r="E11" s="148" t="s">
        <v>29</v>
      </c>
      <c r="F11" s="220" t="s">
        <v>23</v>
      </c>
      <c r="G11" s="146"/>
    </row>
    <row r="12" spans="1:7">
      <c r="A12" s="175"/>
      <c r="B12" s="149" t="s">
        <v>370</v>
      </c>
      <c r="C12" s="147" t="s">
        <v>371</v>
      </c>
      <c r="D12" s="103">
        <f>D11*D7</f>
        <v>2.5000000000000001E-2</v>
      </c>
      <c r="E12" s="148" t="s">
        <v>29</v>
      </c>
      <c r="F12" s="220" t="s">
        <v>23</v>
      </c>
      <c r="G12" s="146"/>
    </row>
    <row r="13" spans="1:7">
      <c r="A13" s="175"/>
      <c r="B13" s="149"/>
      <c r="C13" s="149"/>
      <c r="D13" s="146"/>
      <c r="E13" s="147"/>
      <c r="F13" s="220" t="s">
        <v>23</v>
      </c>
      <c r="G13" s="146"/>
    </row>
    <row r="14" spans="1:7">
      <c r="A14" s="175"/>
      <c r="B14" s="179" t="s">
        <v>171</v>
      </c>
      <c r="C14" s="149" t="s">
        <v>383</v>
      </c>
      <c r="D14" s="174">
        <v>20</v>
      </c>
      <c r="E14" s="12" t="s">
        <v>379</v>
      </c>
      <c r="F14" s="220" t="s">
        <v>23</v>
      </c>
      <c r="G14" s="149"/>
    </row>
    <row r="15" spans="1:7" ht="31.5">
      <c r="A15" s="175"/>
      <c r="B15" s="149" t="s">
        <v>384</v>
      </c>
      <c r="C15" s="149" t="s">
        <v>385</v>
      </c>
      <c r="D15" s="174">
        <f>D14*'Unit Conversions'!D14</f>
        <v>20</v>
      </c>
      <c r="E15" s="147" t="s">
        <v>29</v>
      </c>
      <c r="F15" s="220" t="s">
        <v>23</v>
      </c>
      <c r="G15" s="149"/>
    </row>
    <row r="16" spans="1:7" ht="31.5">
      <c r="A16" s="175"/>
      <c r="B16" s="149" t="s">
        <v>386</v>
      </c>
      <c r="C16" s="149" t="s">
        <v>387</v>
      </c>
      <c r="D16" s="174">
        <f>D15/'Unit Conversions'!D26</f>
        <v>0.2</v>
      </c>
      <c r="E16" s="147" t="s">
        <v>29</v>
      </c>
      <c r="F16" s="220" t="s">
        <v>23</v>
      </c>
      <c r="G16" s="149"/>
    </row>
    <row r="17" spans="1:8" ht="31.5">
      <c r="A17" s="175"/>
      <c r="B17" s="149" t="s">
        <v>388</v>
      </c>
      <c r="C17" s="149" t="s">
        <v>389</v>
      </c>
      <c r="D17" s="174">
        <f>D16*'Unit Conversions'!D15</f>
        <v>5.2834400000000004E-2</v>
      </c>
      <c r="E17" s="147" t="s">
        <v>29</v>
      </c>
      <c r="F17" s="220" t="s">
        <v>23</v>
      </c>
      <c r="G17" s="149"/>
    </row>
    <row r="18" spans="1:8" ht="31.5">
      <c r="A18" s="175"/>
      <c r="B18" s="149" t="s">
        <v>390</v>
      </c>
      <c r="C18" s="149" t="s">
        <v>391</v>
      </c>
      <c r="D18" s="180">
        <f>D17*D37</f>
        <v>3.0739053920000003</v>
      </c>
      <c r="E18" s="147" t="s">
        <v>29</v>
      </c>
      <c r="F18" s="220" t="s">
        <v>23</v>
      </c>
      <c r="G18" s="149"/>
    </row>
    <row r="19" spans="1:8" ht="31.5">
      <c r="A19" s="175"/>
      <c r="B19" s="149" t="s">
        <v>392</v>
      </c>
      <c r="C19" s="149" t="s">
        <v>393</v>
      </c>
      <c r="D19" s="174">
        <f>D18*D39</f>
        <v>12.295621568000001</v>
      </c>
      <c r="E19" s="147" t="s">
        <v>29</v>
      </c>
      <c r="F19" s="220" t="s">
        <v>23</v>
      </c>
      <c r="G19" s="150"/>
    </row>
    <row r="20" spans="1:8">
      <c r="A20" s="175"/>
      <c r="B20" s="176" t="s">
        <v>372</v>
      </c>
      <c r="C20" s="181" t="s">
        <v>394</v>
      </c>
      <c r="D20" s="182">
        <v>22</v>
      </c>
      <c r="E20" s="12" t="s">
        <v>395</v>
      </c>
      <c r="F20" s="220" t="s">
        <v>23</v>
      </c>
      <c r="G20" s="150"/>
    </row>
    <row r="21" spans="1:8" ht="31.5">
      <c r="A21" s="175"/>
      <c r="B21" s="149" t="s">
        <v>396</v>
      </c>
      <c r="C21" s="149" t="s">
        <v>397</v>
      </c>
      <c r="D21" s="174">
        <f>D20/'Unit Conversions'!D10</f>
        <v>48.501737244043106</v>
      </c>
      <c r="E21" s="147" t="s">
        <v>29</v>
      </c>
      <c r="F21" s="220" t="s">
        <v>23</v>
      </c>
      <c r="G21" s="150"/>
    </row>
    <row r="22" spans="1:8" ht="31.5">
      <c r="A22" s="175"/>
      <c r="B22" s="149" t="s">
        <v>392</v>
      </c>
      <c r="C22" s="149" t="s">
        <v>393</v>
      </c>
      <c r="D22" s="174">
        <f>D11*D21</f>
        <v>4.8501737244043108E-2</v>
      </c>
      <c r="E22" s="147" t="s">
        <v>29</v>
      </c>
      <c r="F22" s="220" t="s">
        <v>23</v>
      </c>
      <c r="G22" s="224"/>
    </row>
    <row r="23" spans="1:8">
      <c r="A23" s="175"/>
      <c r="B23" s="149"/>
      <c r="C23" s="149"/>
      <c r="D23" s="146"/>
      <c r="E23" s="147"/>
      <c r="F23" s="220" t="s">
        <v>23</v>
      </c>
      <c r="G23" s="150"/>
    </row>
    <row r="24" spans="1:8">
      <c r="A24" s="175"/>
      <c r="B24" s="179" t="s">
        <v>173</v>
      </c>
      <c r="C24" s="149" t="s">
        <v>398</v>
      </c>
      <c r="D24" s="174">
        <f>425*0.41</f>
        <v>174.25</v>
      </c>
      <c r="E24" s="13" t="s">
        <v>399</v>
      </c>
      <c r="F24" s="220" t="s">
        <v>23</v>
      </c>
      <c r="G24" s="150"/>
    </row>
    <row r="25" spans="1:8">
      <c r="A25" s="175"/>
      <c r="B25" s="149" t="s">
        <v>400</v>
      </c>
      <c r="C25" s="149" t="s">
        <v>401</v>
      </c>
      <c r="D25" s="180">
        <v>1.92</v>
      </c>
      <c r="E25" s="13" t="s">
        <v>399</v>
      </c>
      <c r="F25" s="220" t="s">
        <v>23</v>
      </c>
      <c r="G25" s="150"/>
    </row>
    <row r="26" spans="1:8">
      <c r="A26" s="175"/>
      <c r="B26" s="149" t="s">
        <v>402</v>
      </c>
      <c r="C26" s="149" t="s">
        <v>403</v>
      </c>
      <c r="D26" s="180">
        <f>D24/D25</f>
        <v>90.755208333333343</v>
      </c>
      <c r="E26" s="149" t="s">
        <v>29</v>
      </c>
      <c r="F26" s="220" t="s">
        <v>23</v>
      </c>
      <c r="G26" s="150"/>
    </row>
    <row r="27" spans="1:8">
      <c r="A27" s="175"/>
      <c r="B27" s="149" t="s">
        <v>404</v>
      </c>
      <c r="C27" s="149" t="s">
        <v>405</v>
      </c>
      <c r="D27" s="180">
        <f>D26*D34</f>
        <v>90.755208333333343</v>
      </c>
      <c r="E27" s="149" t="s">
        <v>29</v>
      </c>
      <c r="F27" s="220" t="s">
        <v>23</v>
      </c>
      <c r="G27" s="150"/>
    </row>
    <row r="28" spans="1:8">
      <c r="A28" s="175"/>
      <c r="B28" s="149"/>
      <c r="C28" s="149"/>
      <c r="D28" s="146"/>
      <c r="E28" s="149"/>
      <c r="F28" s="220" t="s">
        <v>23</v>
      </c>
      <c r="G28" s="150"/>
      <c r="H28" s="151"/>
    </row>
    <row r="29" spans="1:8">
      <c r="A29" s="175"/>
      <c r="B29" s="179" t="s">
        <v>175</v>
      </c>
      <c r="C29" s="149" t="s">
        <v>406</v>
      </c>
      <c r="D29" s="174">
        <f>3.7*0.439</f>
        <v>1.6243000000000001</v>
      </c>
      <c r="E29" s="13" t="s">
        <v>407</v>
      </c>
      <c r="F29" s="220" t="s">
        <v>23</v>
      </c>
      <c r="G29" s="150"/>
    </row>
    <row r="30" spans="1:8">
      <c r="A30" s="175"/>
      <c r="B30" s="149" t="s">
        <v>408</v>
      </c>
      <c r="C30" s="149" t="s">
        <v>409</v>
      </c>
      <c r="D30" s="174">
        <f>D29*D34</f>
        <v>1.6243000000000001</v>
      </c>
      <c r="E30" s="152" t="s">
        <v>29</v>
      </c>
      <c r="F30" s="237" t="s">
        <v>410</v>
      </c>
      <c r="G30" s="150"/>
    </row>
    <row r="31" spans="1:8">
      <c r="A31" s="175"/>
      <c r="B31" s="149"/>
      <c r="C31" s="149"/>
      <c r="D31" s="174"/>
      <c r="E31" s="149"/>
      <c r="F31" s="221" t="s">
        <v>23</v>
      </c>
      <c r="G31" s="150"/>
    </row>
    <row r="32" spans="1:8">
      <c r="A32" s="175"/>
      <c r="B32" s="179" t="s">
        <v>411</v>
      </c>
      <c r="C32" s="149"/>
      <c r="D32" s="174"/>
      <c r="E32" s="149"/>
      <c r="F32" s="220" t="s">
        <v>23</v>
      </c>
      <c r="G32" s="150"/>
    </row>
    <row r="33" spans="1:10">
      <c r="A33" s="175"/>
      <c r="B33" s="149" t="s">
        <v>412</v>
      </c>
      <c r="C33" s="183" t="s">
        <v>413</v>
      </c>
      <c r="D33" s="146">
        <v>1</v>
      </c>
      <c r="E33" s="149" t="s">
        <v>414</v>
      </c>
      <c r="F33" s="220" t="s">
        <v>23</v>
      </c>
      <c r="G33" s="149"/>
      <c r="H33" s="2"/>
      <c r="I33" s="78"/>
    </row>
    <row r="34" spans="1:10">
      <c r="A34" s="175"/>
      <c r="B34" s="149" t="s">
        <v>415</v>
      </c>
      <c r="C34" s="183" t="s">
        <v>416</v>
      </c>
      <c r="D34" s="146">
        <f>1</f>
        <v>1</v>
      </c>
      <c r="E34" s="149" t="s">
        <v>414</v>
      </c>
      <c r="F34" s="220" t="s">
        <v>23</v>
      </c>
      <c r="G34" s="149"/>
      <c r="H34" s="2"/>
      <c r="I34" s="78"/>
      <c r="J34" s="239"/>
    </row>
    <row r="35" spans="1:10">
      <c r="A35" s="175"/>
      <c r="B35" s="211" t="s">
        <v>417</v>
      </c>
      <c r="C35" s="65" t="s">
        <v>418</v>
      </c>
      <c r="D35" s="65">
        <v>4.4000000000000004</v>
      </c>
      <c r="E35" s="13" t="s">
        <v>419</v>
      </c>
      <c r="F35" s="220" t="s">
        <v>23</v>
      </c>
      <c r="G35" s="149"/>
      <c r="H35" s="2"/>
      <c r="I35" s="78"/>
      <c r="J35" s="2"/>
    </row>
    <row r="36" spans="1:10">
      <c r="A36" s="175"/>
      <c r="B36" s="149" t="s">
        <v>420</v>
      </c>
      <c r="C36" s="183" t="s">
        <v>421</v>
      </c>
      <c r="D36" s="146">
        <f>D35/'Unit Conversions'!D46</f>
        <v>4.4000000000000003E-3</v>
      </c>
      <c r="E36" s="149" t="s">
        <v>29</v>
      </c>
      <c r="F36" s="220" t="s">
        <v>23</v>
      </c>
      <c r="G36" s="149"/>
      <c r="H36" s="97"/>
      <c r="I36" s="78"/>
      <c r="J36" s="2"/>
    </row>
    <row r="37" spans="1:10">
      <c r="A37" s="175"/>
      <c r="B37" s="149" t="s">
        <v>422</v>
      </c>
      <c r="C37" s="183" t="s">
        <v>423</v>
      </c>
      <c r="D37" s="146">
        <v>58.18</v>
      </c>
      <c r="E37" s="13" t="s">
        <v>419</v>
      </c>
      <c r="F37" s="220" t="s">
        <v>23</v>
      </c>
      <c r="G37" s="149"/>
      <c r="H37" s="2"/>
      <c r="I37" s="78"/>
      <c r="J37" s="2"/>
    </row>
    <row r="38" spans="1:10">
      <c r="A38" s="175"/>
      <c r="B38" s="149" t="s">
        <v>424</v>
      </c>
      <c r="C38" s="183" t="s">
        <v>425</v>
      </c>
      <c r="D38" s="184">
        <f>D36*D37</f>
        <v>0.255992</v>
      </c>
      <c r="E38" s="149" t="s">
        <v>29</v>
      </c>
      <c r="F38" s="220" t="s">
        <v>23</v>
      </c>
      <c r="G38" s="149"/>
      <c r="H38" s="2"/>
      <c r="I38" s="78"/>
    </row>
    <row r="39" spans="1:10">
      <c r="A39" s="175"/>
      <c r="B39" s="149" t="s">
        <v>426</v>
      </c>
      <c r="C39" s="149" t="s">
        <v>427</v>
      </c>
      <c r="D39" s="185">
        <f>ROUND(D34/D38,0)</f>
        <v>4</v>
      </c>
      <c r="E39" s="149" t="s">
        <v>29</v>
      </c>
      <c r="F39" s="220" t="s">
        <v>23</v>
      </c>
      <c r="G39" s="150"/>
    </row>
    <row r="40" spans="1:10">
      <c r="A40" s="175"/>
      <c r="B40" s="149" t="s">
        <v>428</v>
      </c>
      <c r="C40" s="183" t="s">
        <v>429</v>
      </c>
      <c r="D40" s="146">
        <v>1</v>
      </c>
      <c r="E40" s="149" t="s">
        <v>414</v>
      </c>
      <c r="F40" s="220" t="s">
        <v>23</v>
      </c>
      <c r="G40" s="150"/>
    </row>
    <row r="41" spans="1:10">
      <c r="A41" s="175"/>
      <c r="B41" s="146"/>
      <c r="C41" s="146"/>
      <c r="D41" s="146"/>
      <c r="E41" s="149"/>
      <c r="F41" s="220" t="s">
        <v>23</v>
      </c>
      <c r="G41" s="150"/>
    </row>
    <row r="42" spans="1:10">
      <c r="A42" s="175"/>
      <c r="B42" s="186" t="s">
        <v>430</v>
      </c>
      <c r="C42" s="146"/>
      <c r="D42" s="146"/>
      <c r="E42" s="149"/>
      <c r="F42" s="220" t="s">
        <v>23</v>
      </c>
      <c r="G42" s="149"/>
      <c r="H42" s="2"/>
      <c r="I42" s="2"/>
    </row>
    <row r="43" spans="1:10">
      <c r="A43" s="175"/>
      <c r="B43" s="187" t="s">
        <v>179</v>
      </c>
      <c r="C43" s="187" t="s">
        <v>431</v>
      </c>
      <c r="D43" s="187">
        <f>(D6+D12)*D40</f>
        <v>22.149578810759998</v>
      </c>
      <c r="E43" s="149" t="s">
        <v>29</v>
      </c>
      <c r="F43" s="220" t="s">
        <v>23</v>
      </c>
      <c r="G43" s="149"/>
      <c r="H43" s="2"/>
      <c r="I43" s="2"/>
    </row>
    <row r="44" spans="1:10">
      <c r="A44" s="175"/>
      <c r="B44" s="187" t="s">
        <v>180</v>
      </c>
      <c r="C44" s="187" t="s">
        <v>432</v>
      </c>
      <c r="D44" s="187">
        <f>(D19+D22)*D40</f>
        <v>12.344123305244045</v>
      </c>
      <c r="E44" s="149" t="s">
        <v>29</v>
      </c>
      <c r="F44" s="220" t="s">
        <v>23</v>
      </c>
      <c r="G44" s="149"/>
      <c r="H44" s="2"/>
      <c r="I44" s="2"/>
    </row>
    <row r="45" spans="1:10">
      <c r="A45" s="175"/>
      <c r="B45" s="187" t="s">
        <v>433</v>
      </c>
      <c r="C45" s="187" t="s">
        <v>434</v>
      </c>
      <c r="D45" s="187">
        <f>D27*D40</f>
        <v>90.755208333333343</v>
      </c>
      <c r="E45" s="149" t="s">
        <v>29</v>
      </c>
      <c r="F45" s="220" t="s">
        <v>23</v>
      </c>
      <c r="G45" s="149"/>
      <c r="H45" s="2"/>
      <c r="I45" s="2"/>
    </row>
    <row r="46" spans="1:10">
      <c r="A46" s="188"/>
      <c r="B46" s="189" t="s">
        <v>182</v>
      </c>
      <c r="C46" s="189" t="s">
        <v>434</v>
      </c>
      <c r="D46" s="189">
        <f>D30*D40</f>
        <v>1.6243000000000001</v>
      </c>
      <c r="E46" s="153" t="s">
        <v>29</v>
      </c>
      <c r="F46" s="220" t="s">
        <v>23</v>
      </c>
      <c r="G46" s="149"/>
      <c r="H46" s="2"/>
      <c r="I46" s="2"/>
    </row>
    <row r="47" spans="1:10">
      <c r="A47" s="149"/>
      <c r="B47" s="187"/>
      <c r="C47" s="187"/>
      <c r="D47" s="187"/>
      <c r="E47" s="149"/>
      <c r="F47" s="212"/>
      <c r="G47" s="149"/>
      <c r="H47" s="2"/>
      <c r="I47" s="2"/>
    </row>
    <row r="48" spans="1:10">
      <c r="A48" s="8" t="s">
        <v>252</v>
      </c>
      <c r="B48" s="146"/>
      <c r="C48" s="146"/>
      <c r="D48" s="146"/>
      <c r="E48" s="149"/>
      <c r="F48" s="149"/>
      <c r="G48" s="149"/>
      <c r="H48" s="2"/>
      <c r="I48" s="2"/>
    </row>
    <row r="49" spans="1:9">
      <c r="A49" s="190"/>
      <c r="B49" s="191" t="s">
        <v>173</v>
      </c>
      <c r="C49" s="192"/>
      <c r="D49" s="192"/>
      <c r="E49" s="154"/>
      <c r="F49" s="154"/>
      <c r="G49" s="155"/>
      <c r="H49" s="2"/>
      <c r="I49" s="2"/>
    </row>
    <row r="50" spans="1:9">
      <c r="A50" s="193"/>
      <c r="B50" s="152" t="s">
        <v>435</v>
      </c>
      <c r="C50" s="152" t="s">
        <v>275</v>
      </c>
      <c r="D50" s="194">
        <v>10</v>
      </c>
      <c r="E50" s="233" t="s">
        <v>436</v>
      </c>
      <c r="F50" s="149"/>
      <c r="G50" s="156"/>
      <c r="H50" s="2"/>
      <c r="I50" s="2"/>
    </row>
    <row r="51" spans="1:9" ht="78.75" hidden="1">
      <c r="A51" s="193"/>
      <c r="B51" s="152" t="s">
        <v>437</v>
      </c>
      <c r="C51" s="152" t="s">
        <v>258</v>
      </c>
      <c r="D51" s="194">
        <v>8.89</v>
      </c>
      <c r="E51" s="157" t="s">
        <v>438</v>
      </c>
      <c r="F51" s="149"/>
      <c r="G51" s="156"/>
      <c r="H51" s="2" t="s">
        <v>439</v>
      </c>
      <c r="I51" s="2"/>
    </row>
    <row r="52" spans="1:9" ht="15" customHeight="1">
      <c r="A52" s="175"/>
      <c r="B52" s="152" t="s">
        <v>278</v>
      </c>
      <c r="C52" s="152" t="s">
        <v>260</v>
      </c>
      <c r="D52" s="194">
        <v>4</v>
      </c>
      <c r="E52" s="157" t="s">
        <v>261</v>
      </c>
      <c r="F52" s="149" t="s">
        <v>262</v>
      </c>
      <c r="G52" s="234" t="s">
        <v>436</v>
      </c>
      <c r="H52" s="2"/>
      <c r="I52" s="2"/>
    </row>
    <row r="53" spans="1:9" ht="30.75" hidden="1" customHeight="1">
      <c r="A53" s="175"/>
      <c r="B53" s="152" t="s">
        <v>263</v>
      </c>
      <c r="C53" s="152" t="s">
        <v>264</v>
      </c>
      <c r="D53" s="194">
        <v>55</v>
      </c>
      <c r="E53" s="157"/>
      <c r="F53" s="158" t="s">
        <v>440</v>
      </c>
      <c r="G53" s="156"/>
      <c r="H53" s="2" t="s">
        <v>441</v>
      </c>
      <c r="I53" s="2"/>
    </row>
    <row r="54" spans="1:9" ht="29.25" hidden="1" customHeight="1">
      <c r="A54" s="175"/>
      <c r="B54" s="152" t="s">
        <v>442</v>
      </c>
      <c r="C54" s="152" t="s">
        <v>443</v>
      </c>
      <c r="D54" s="194">
        <v>30</v>
      </c>
      <c r="E54" s="159" t="s">
        <v>444</v>
      </c>
      <c r="F54" s="158"/>
      <c r="G54" s="156"/>
      <c r="H54" s="92" t="s">
        <v>445</v>
      </c>
      <c r="I54" s="2"/>
    </row>
    <row r="55" spans="1:9" ht="29.25" hidden="1" customHeight="1">
      <c r="A55" s="175"/>
      <c r="B55" s="152" t="s">
        <v>446</v>
      </c>
      <c r="C55" s="152" t="s">
        <v>268</v>
      </c>
      <c r="D55" s="195">
        <f>$D$54/$D$53</f>
        <v>0.54545454545454541</v>
      </c>
      <c r="E55" s="149" t="s">
        <v>447</v>
      </c>
      <c r="F55" s="158"/>
      <c r="G55" s="160"/>
      <c r="H55" s="2" t="s">
        <v>448</v>
      </c>
      <c r="I55" s="2"/>
    </row>
    <row r="56" spans="1:9" ht="78.75" hidden="1">
      <c r="A56" s="175"/>
      <c r="B56" s="152" t="s">
        <v>449</v>
      </c>
      <c r="C56" s="152" t="s">
        <v>268</v>
      </c>
      <c r="D56" s="195">
        <f>$D$55*$D$52</f>
        <v>2.1818181818181817</v>
      </c>
      <c r="E56" s="149" t="s">
        <v>447</v>
      </c>
      <c r="F56" s="158" t="s">
        <v>450</v>
      </c>
      <c r="G56" s="160"/>
      <c r="H56" s="2"/>
      <c r="I56" s="2"/>
    </row>
    <row r="57" spans="1:9" ht="31.5" hidden="1" customHeight="1">
      <c r="A57" s="175"/>
      <c r="B57" s="147" t="s">
        <v>270</v>
      </c>
      <c r="C57" s="152" t="s">
        <v>271</v>
      </c>
      <c r="D57" s="195">
        <f>$D$54/$D$50*$D$51</f>
        <v>26.67</v>
      </c>
      <c r="E57" s="149" t="s">
        <v>447</v>
      </c>
      <c r="F57" s="161" t="s">
        <v>451</v>
      </c>
      <c r="G57" s="162"/>
      <c r="H57" s="2"/>
      <c r="I57" s="2"/>
    </row>
    <row r="58" spans="1:9" hidden="1">
      <c r="A58" s="175"/>
      <c r="B58" s="149" t="s">
        <v>272</v>
      </c>
      <c r="C58" s="149" t="s">
        <v>271</v>
      </c>
      <c r="D58" s="195">
        <f>$D$57*$D$52</f>
        <v>106.68</v>
      </c>
      <c r="E58" s="149"/>
      <c r="F58" s="161"/>
      <c r="G58" s="162"/>
      <c r="H58" s="2"/>
      <c r="I58" s="2"/>
    </row>
    <row r="59" spans="1:9">
      <c r="A59" s="175"/>
      <c r="B59" s="149" t="s">
        <v>273</v>
      </c>
      <c r="C59" s="149" t="s">
        <v>260</v>
      </c>
      <c r="D59" s="196">
        <v>2</v>
      </c>
      <c r="E59" s="157" t="s">
        <v>261</v>
      </c>
      <c r="F59" s="149" t="s">
        <v>262</v>
      </c>
      <c r="G59" s="162"/>
      <c r="H59" s="81"/>
      <c r="I59" s="2"/>
    </row>
    <row r="60" spans="1:9" ht="21" customHeight="1">
      <c r="A60" s="175"/>
      <c r="B60" s="149" t="s">
        <v>452</v>
      </c>
      <c r="C60" s="149" t="s">
        <v>62</v>
      </c>
      <c r="D60" s="195">
        <v>59.5</v>
      </c>
      <c r="E60" s="229" t="s">
        <v>285</v>
      </c>
      <c r="F60" s="163"/>
      <c r="G60" s="162"/>
      <c r="H60" s="81"/>
      <c r="I60" s="2"/>
    </row>
    <row r="61" spans="1:9">
      <c r="A61" s="175"/>
      <c r="B61" s="149" t="s">
        <v>453</v>
      </c>
      <c r="C61" s="149" t="s">
        <v>62</v>
      </c>
      <c r="D61" s="195">
        <f>$D$60/'Unit Conversions'!$D$35</f>
        <v>0.16301369863013698</v>
      </c>
      <c r="E61" s="149" t="s">
        <v>29</v>
      </c>
      <c r="F61" s="229" t="s">
        <v>285</v>
      </c>
      <c r="G61" s="164"/>
      <c r="H61" s="2"/>
      <c r="I61" s="2"/>
    </row>
    <row r="62" spans="1:9">
      <c r="A62" s="175"/>
      <c r="B62" s="149" t="s">
        <v>454</v>
      </c>
      <c r="C62" s="149" t="s">
        <v>455</v>
      </c>
      <c r="D62" s="195">
        <f>$D$61*'Unit Conversions'!D7</f>
        <v>147.88358219178082</v>
      </c>
      <c r="E62" s="149" t="s">
        <v>29</v>
      </c>
      <c r="F62" s="165"/>
      <c r="G62" s="166"/>
      <c r="H62" s="2"/>
      <c r="I62" s="2"/>
    </row>
    <row r="63" spans="1:9">
      <c r="A63" s="197"/>
      <c r="B63" s="167" t="s">
        <v>456</v>
      </c>
      <c r="C63" s="167" t="s">
        <v>455</v>
      </c>
      <c r="D63" s="198">
        <f>$D$62/$D$59</f>
        <v>73.941791095890409</v>
      </c>
      <c r="E63" s="167" t="s">
        <v>29</v>
      </c>
      <c r="F63" s="167"/>
      <c r="G63" s="168"/>
      <c r="H63" s="54"/>
      <c r="I63" s="54"/>
    </row>
    <row r="64" spans="1:9" hidden="1">
      <c r="A64" s="41"/>
      <c r="B64" s="2"/>
      <c r="C64" s="56" t="s">
        <v>22</v>
      </c>
      <c r="D64" s="56"/>
      <c r="E64" s="55"/>
      <c r="F64" s="57"/>
      <c r="G64" s="141"/>
      <c r="H64" s="2"/>
      <c r="I64" s="2"/>
    </row>
    <row r="65" spans="1:9" hidden="1">
      <c r="A65" s="41"/>
      <c r="B65" s="2"/>
      <c r="C65" s="56" t="s">
        <v>457</v>
      </c>
      <c r="D65" s="56" t="s">
        <v>458</v>
      </c>
      <c r="E65" s="55">
        <v>3.8010000000000002</v>
      </c>
      <c r="F65" s="57" t="s">
        <v>459</v>
      </c>
      <c r="G65" s="141"/>
      <c r="H65" s="2"/>
      <c r="I65" s="2"/>
    </row>
    <row r="66" spans="1:9" hidden="1">
      <c r="A66" s="41"/>
      <c r="B66" s="2"/>
      <c r="C66" s="56"/>
      <c r="D66" s="56"/>
      <c r="E66" s="55"/>
      <c r="F66" s="57"/>
      <c r="G66" s="141"/>
      <c r="H66" s="2"/>
      <c r="I66" s="2"/>
    </row>
    <row r="67" spans="1:9" hidden="1">
      <c r="A67" s="41"/>
      <c r="B67" s="2"/>
      <c r="C67" s="55" t="s">
        <v>35</v>
      </c>
      <c r="D67" s="55"/>
      <c r="E67" s="55"/>
      <c r="F67" s="57"/>
      <c r="G67" s="142"/>
      <c r="H67" s="2"/>
      <c r="I67" s="2"/>
    </row>
    <row r="68" spans="1:9" hidden="1">
      <c r="A68" s="41"/>
      <c r="B68" s="2"/>
      <c r="C68" s="55" t="s">
        <v>460</v>
      </c>
      <c r="D68" s="55" t="s">
        <v>461</v>
      </c>
      <c r="E68" s="55">
        <v>13.4</v>
      </c>
      <c r="F68" s="57" t="s">
        <v>462</v>
      </c>
      <c r="G68" s="142"/>
      <c r="H68" s="2"/>
      <c r="I68" s="2"/>
    </row>
    <row r="69" spans="1:9" hidden="1">
      <c r="A69" s="41"/>
      <c r="B69" s="2"/>
      <c r="C69" s="55" t="s">
        <v>463</v>
      </c>
      <c r="D69" s="55" t="s">
        <v>464</v>
      </c>
      <c r="E69" s="55">
        <f>$E$68*277778</f>
        <v>3722225.2</v>
      </c>
      <c r="F69" s="58" t="s">
        <v>29</v>
      </c>
      <c r="G69" s="142"/>
      <c r="H69" s="2"/>
      <c r="I69" s="2"/>
    </row>
    <row r="70" spans="1:9" hidden="1">
      <c r="A70" s="41"/>
      <c r="B70" s="2"/>
      <c r="C70" s="56" t="s">
        <v>465</v>
      </c>
      <c r="D70" s="56" t="s">
        <v>88</v>
      </c>
      <c r="E70" s="55">
        <f>$E$69/1000000</f>
        <v>3.7222252</v>
      </c>
      <c r="F70" s="58" t="s">
        <v>29</v>
      </c>
      <c r="G70" s="141"/>
      <c r="H70" s="2"/>
      <c r="I70" s="2"/>
    </row>
    <row r="71" spans="1:9" hidden="1">
      <c r="A71" s="41"/>
      <c r="B71" s="2"/>
      <c r="C71" s="59" t="s">
        <v>466</v>
      </c>
      <c r="D71" s="59" t="s">
        <v>467</v>
      </c>
      <c r="E71" s="55">
        <f>$E$70*$E$65</f>
        <v>14.1481779852</v>
      </c>
      <c r="F71" s="58" t="s">
        <v>29</v>
      </c>
      <c r="G71" s="141"/>
      <c r="H71" s="2"/>
      <c r="I71" s="2"/>
    </row>
    <row r="72" spans="1:9" hidden="1">
      <c r="A72" s="41"/>
      <c r="B72" s="2"/>
      <c r="C72" s="55"/>
      <c r="D72" s="55"/>
      <c r="E72" s="55"/>
      <c r="F72" s="57"/>
      <c r="G72" s="141"/>
      <c r="H72" s="2"/>
      <c r="I72" s="2"/>
    </row>
    <row r="73" spans="1:9" hidden="1">
      <c r="A73" s="41"/>
      <c r="B73" s="2"/>
      <c r="C73" s="55" t="s">
        <v>45</v>
      </c>
      <c r="D73" s="55"/>
      <c r="E73" s="55"/>
      <c r="F73" s="57"/>
      <c r="G73" s="142"/>
      <c r="H73" s="2"/>
      <c r="I73" s="2"/>
    </row>
    <row r="74" spans="1:9" hidden="1">
      <c r="A74" s="41"/>
      <c r="B74" s="2"/>
      <c r="C74" s="55" t="s">
        <v>468</v>
      </c>
      <c r="D74" s="55" t="s">
        <v>469</v>
      </c>
      <c r="E74" s="55">
        <v>51.1</v>
      </c>
      <c r="F74" s="57" t="s">
        <v>462</v>
      </c>
      <c r="G74" s="142"/>
      <c r="H74" s="2"/>
      <c r="I74" s="2"/>
    </row>
    <row r="75" spans="1:9" hidden="1">
      <c r="A75" s="41"/>
      <c r="B75" s="2"/>
      <c r="C75" s="55" t="s">
        <v>470</v>
      </c>
      <c r="D75" s="55" t="s">
        <v>471</v>
      </c>
      <c r="E75" s="55">
        <f>$E$74*1000</f>
        <v>51100</v>
      </c>
      <c r="F75" s="58" t="s">
        <v>29</v>
      </c>
      <c r="G75" s="142"/>
      <c r="H75" s="2"/>
      <c r="I75" s="2"/>
    </row>
    <row r="76" spans="1:9" hidden="1">
      <c r="A76" s="41"/>
      <c r="B76" s="2"/>
      <c r="C76" s="55" t="s">
        <v>472</v>
      </c>
      <c r="D76" s="55" t="s">
        <v>473</v>
      </c>
      <c r="E76" s="55">
        <f>$E$75/1000000</f>
        <v>5.11E-2</v>
      </c>
      <c r="F76" s="58" t="s">
        <v>29</v>
      </c>
      <c r="G76" s="142"/>
      <c r="H76" s="2"/>
      <c r="I76" s="2"/>
    </row>
    <row r="77" spans="1:9" hidden="1">
      <c r="A77" s="41"/>
      <c r="B77" s="2"/>
      <c r="C77" s="59" t="s">
        <v>474</v>
      </c>
      <c r="D77" s="59" t="s">
        <v>475</v>
      </c>
      <c r="E77" s="55">
        <f>$E$76*$E$65</f>
        <v>0.19423110000000002</v>
      </c>
      <c r="F77" s="58" t="s">
        <v>29</v>
      </c>
      <c r="G77" s="142"/>
      <c r="H77" s="2"/>
      <c r="I77" s="2"/>
    </row>
    <row r="78" spans="1:9" hidden="1">
      <c r="A78" s="41"/>
      <c r="B78" s="2"/>
      <c r="C78" s="59"/>
      <c r="D78" s="59"/>
      <c r="E78" s="55"/>
      <c r="F78" s="58"/>
      <c r="G78" s="141"/>
      <c r="H78" s="2"/>
      <c r="I78" s="2"/>
    </row>
    <row r="79" spans="1:9" hidden="1">
      <c r="A79" s="41"/>
      <c r="B79" s="2"/>
      <c r="C79" s="56" t="s">
        <v>59</v>
      </c>
      <c r="D79" s="56"/>
      <c r="E79" s="55"/>
      <c r="F79" s="58"/>
      <c r="G79" s="142"/>
      <c r="H79" s="2"/>
      <c r="I79" s="2"/>
    </row>
    <row r="80" spans="1:9" hidden="1">
      <c r="A80" s="41"/>
      <c r="B80" s="2"/>
      <c r="C80" s="56" t="s">
        <v>476</v>
      </c>
      <c r="D80" s="56" t="s">
        <v>477</v>
      </c>
      <c r="E80" s="55">
        <v>8780</v>
      </c>
      <c r="F80" s="57" t="s">
        <v>462</v>
      </c>
      <c r="G80" s="142"/>
      <c r="H80" s="2"/>
      <c r="I80" s="2"/>
    </row>
    <row r="81" spans="1:9" hidden="1">
      <c r="A81" s="41"/>
      <c r="B81" s="2"/>
      <c r="C81" s="56" t="s">
        <v>478</v>
      </c>
      <c r="D81" s="56" t="s">
        <v>479</v>
      </c>
      <c r="E81" s="55">
        <f>$E$80*907.185</f>
        <v>7965084.2999999998</v>
      </c>
      <c r="F81" s="58" t="s">
        <v>29</v>
      </c>
      <c r="G81" s="142"/>
      <c r="H81" s="2"/>
      <c r="I81" s="2"/>
    </row>
    <row r="82" spans="1:9" hidden="1">
      <c r="A82" s="41"/>
      <c r="B82" s="2"/>
      <c r="C82" s="56" t="s">
        <v>480</v>
      </c>
      <c r="D82" s="56" t="s">
        <v>481</v>
      </c>
      <c r="E82" s="55">
        <f>$E$81/1000000</f>
        <v>7.9650843</v>
      </c>
      <c r="F82" s="58" t="s">
        <v>29</v>
      </c>
      <c r="G82" s="54"/>
      <c r="H82" s="2"/>
      <c r="I82" s="2"/>
    </row>
    <row r="83" spans="1:9" hidden="1">
      <c r="A83" s="41"/>
      <c r="B83" s="2"/>
      <c r="C83" s="59" t="s">
        <v>482</v>
      </c>
      <c r="D83" s="59" t="s">
        <v>483</v>
      </c>
      <c r="E83" s="55">
        <f>$E$82*$E$65</f>
        <v>30.275285424300002</v>
      </c>
      <c r="F83" s="58" t="s">
        <v>29</v>
      </c>
      <c r="G83" s="54"/>
      <c r="H83" s="2"/>
      <c r="I83" s="2"/>
    </row>
    <row r="84" spans="1:9" hidden="1">
      <c r="A84" s="41"/>
      <c r="B84" s="2"/>
      <c r="C84" s="2"/>
      <c r="D84" s="74"/>
      <c r="E84" s="2"/>
      <c r="F84" s="2"/>
      <c r="G84" s="54"/>
      <c r="H84" s="2"/>
      <c r="I84" s="2"/>
    </row>
    <row r="85" spans="1:9" hidden="1">
      <c r="A85" s="41"/>
      <c r="B85" s="2"/>
      <c r="C85" s="2"/>
      <c r="D85" s="74"/>
      <c r="E85" s="2"/>
      <c r="F85" s="2"/>
      <c r="G85" s="54"/>
      <c r="H85" s="2"/>
      <c r="I85" s="2"/>
    </row>
    <row r="86" spans="1:9" hidden="1">
      <c r="A86" s="41"/>
      <c r="B86" s="2"/>
      <c r="C86" s="2"/>
      <c r="D86" s="74"/>
      <c r="E86" s="2"/>
      <c r="F86" s="2"/>
      <c r="G86" s="54"/>
      <c r="H86" s="2"/>
      <c r="I86" s="2"/>
    </row>
    <row r="87" spans="1:9" hidden="1">
      <c r="A87" s="41"/>
      <c r="B87" s="2"/>
      <c r="C87" s="2"/>
      <c r="D87" s="74"/>
      <c r="E87" s="2"/>
      <c r="F87" s="2"/>
      <c r="G87" s="54"/>
      <c r="H87" s="2"/>
      <c r="I87" s="2"/>
    </row>
    <row r="88" spans="1:9" hidden="1">
      <c r="A88" s="41"/>
      <c r="B88" s="2"/>
      <c r="C88" s="2"/>
      <c r="D88" s="2"/>
      <c r="E88" s="2"/>
      <c r="F88" s="2"/>
      <c r="G88" s="54"/>
      <c r="H88" s="2"/>
      <c r="I88" s="2"/>
    </row>
  </sheetData>
  <sheetProtection algorithmName="SHA-512" hashValue="j8wIOOqM67Pk3n2lBHF9NaTCRVp4DWRwyh7TmGZ9z9iT0nYzwfqPSGg30FJTbtewQ/hs9gCcsBJ+3NHuaQb16w==" saltValue="4VQ9uYKF+tp754kuXmW7IQ==" spinCount="100000" sheet="1" objects="1" scenarios="1" selectLockedCells="1"/>
  <hyperlinks>
    <hyperlink ref="E3" r:id="rId1" xr:uid="{9E2F7244-B82C-4996-8EF3-382443593511}"/>
    <hyperlink ref="E9" r:id="rId2" xr:uid="{99A035B9-5FC1-4B0D-AFB6-ED0CB518E127}"/>
    <hyperlink ref="E14" r:id="rId3" xr:uid="{B156A36F-6F12-429C-8FFC-2E8DDA175A98}"/>
    <hyperlink ref="E7" r:id="rId4" xr:uid="{4DE9187C-2C0B-4D11-840C-E5505CC4EB12}"/>
    <hyperlink ref="E20" r:id="rId5" xr:uid="{6A7D75AD-D50B-42D4-AA9C-64A79463CF28}"/>
    <hyperlink ref="E24" r:id="rId6" xr:uid="{06981377-AE3B-490B-BABD-7AACC4E12276}"/>
    <hyperlink ref="E25" r:id="rId7" xr:uid="{7F942E35-1A4E-41D4-95E8-257724A6400A}"/>
    <hyperlink ref="E8" r:id="rId8" xr:uid="{F478EFB8-800E-4D8C-AE24-E15486FF61C8}"/>
    <hyperlink ref="F30" r:id="rId9" xr:uid="{73273698-4582-4759-B177-735FFFC5BF77}"/>
    <hyperlink ref="E35" r:id="rId10" xr:uid="{7C2F9570-293D-44A4-98DA-075316A99D16}"/>
    <hyperlink ref="E37" r:id="rId11" xr:uid="{BE1025B0-FDEF-4C7B-BCBA-9470CE67815D}"/>
    <hyperlink ref="E60" r:id="rId12" xr:uid="{4D05722C-F2B8-40C8-9252-0A3C4DA91F26}"/>
    <hyperlink ref="F61" r:id="rId13" xr:uid="{BBE804AD-EBF9-40C8-A137-422402872367}"/>
    <hyperlink ref="E50" r:id="rId14" xr:uid="{2673CABC-C783-406C-BBDA-26791F7E0C3D}"/>
    <hyperlink ref="G52" r:id="rId15" xr:uid="{D8D11A2A-0141-4CFC-A2AB-FCA8EF8B2671}"/>
    <hyperlink ref="E29" r:id="rId16" xr:uid="{0BE79BB7-690E-4459-882D-36E0307A090F}"/>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572C5-8C7C-448D-824B-4A17F84D5B95}">
  <dimension ref="A1:G46"/>
  <sheetViews>
    <sheetView workbookViewId="0">
      <pane ySplit="1" topLeftCell="A32" activePane="bottomLeft" state="frozen"/>
      <selection pane="bottomLeft" activeCell="C14" sqref="C14"/>
    </sheetView>
  </sheetViews>
  <sheetFormatPr defaultRowHeight="15.75"/>
  <cols>
    <col min="1" max="1" width="22.875" customWidth="1"/>
    <col min="2" max="2" width="42.375" customWidth="1"/>
    <col min="3" max="3" width="19.375" customWidth="1"/>
    <col min="4" max="4" width="9.75" customWidth="1"/>
    <col min="5" max="5" width="116.875" customWidth="1"/>
  </cols>
  <sheetData>
    <row r="1" spans="1:7">
      <c r="A1" s="6" t="s">
        <v>5</v>
      </c>
      <c r="B1" s="6"/>
      <c r="C1" s="7" t="s">
        <v>15</v>
      </c>
      <c r="D1" s="7" t="s">
        <v>16</v>
      </c>
      <c r="E1" s="7" t="s">
        <v>17</v>
      </c>
      <c r="F1" s="7"/>
      <c r="G1" s="7"/>
    </row>
    <row r="2" spans="1:7">
      <c r="A2" s="145" t="s">
        <v>484</v>
      </c>
      <c r="B2" s="52" t="s">
        <v>485</v>
      </c>
      <c r="C2" s="19"/>
      <c r="D2" s="120"/>
      <c r="E2" s="24"/>
      <c r="F2" s="99" t="s">
        <v>23</v>
      </c>
    </row>
    <row r="3" spans="1:7">
      <c r="A3" s="21"/>
      <c r="B3" s="2" t="s">
        <v>486</v>
      </c>
      <c r="C3" s="2" t="s">
        <v>487</v>
      </c>
      <c r="D3" s="54">
        <v>3.1099999999999999E-2</v>
      </c>
      <c r="E3" s="22" t="s">
        <v>488</v>
      </c>
      <c r="F3" s="99" t="s">
        <v>23</v>
      </c>
    </row>
    <row r="4" spans="1:7">
      <c r="A4" s="25"/>
      <c r="B4" s="10" t="s">
        <v>489</v>
      </c>
      <c r="C4" s="10" t="s">
        <v>490</v>
      </c>
      <c r="D4" s="11">
        <v>264172</v>
      </c>
      <c r="E4" s="22" t="s">
        <v>491</v>
      </c>
      <c r="F4" s="99" t="s">
        <v>23</v>
      </c>
    </row>
    <row r="5" spans="1:7">
      <c r="A5" s="25"/>
      <c r="B5" s="10" t="s">
        <v>492</v>
      </c>
      <c r="C5" s="10" t="s">
        <v>493</v>
      </c>
      <c r="D5" s="11">
        <v>1000</v>
      </c>
      <c r="E5" s="22" t="s">
        <v>494</v>
      </c>
      <c r="F5" s="99" t="s">
        <v>23</v>
      </c>
    </row>
    <row r="6" spans="1:7">
      <c r="A6" s="25"/>
      <c r="B6" s="10" t="s">
        <v>495</v>
      </c>
      <c r="C6" s="10" t="s">
        <v>496</v>
      </c>
      <c r="D6" s="11">
        <f>1/1000000</f>
        <v>9.9999999999999995E-7</v>
      </c>
      <c r="E6" s="22" t="s">
        <v>497</v>
      </c>
      <c r="F6" s="99" t="s">
        <v>23</v>
      </c>
    </row>
    <row r="7" spans="1:7">
      <c r="A7" s="25"/>
      <c r="B7" s="10" t="s">
        <v>498</v>
      </c>
      <c r="C7" s="10" t="s">
        <v>499</v>
      </c>
      <c r="D7" s="205">
        <v>907.18499999999995</v>
      </c>
      <c r="E7" s="22" t="s">
        <v>500</v>
      </c>
      <c r="F7" s="99" t="s">
        <v>23</v>
      </c>
    </row>
    <row r="8" spans="1:7">
      <c r="A8" s="25"/>
      <c r="B8" s="10" t="s">
        <v>501</v>
      </c>
      <c r="C8" s="10" t="s">
        <v>502</v>
      </c>
      <c r="D8" s="205">
        <v>264.17200000000003</v>
      </c>
      <c r="E8" s="22" t="s">
        <v>503</v>
      </c>
      <c r="F8" s="99" t="s">
        <v>23</v>
      </c>
    </row>
    <row r="9" spans="1:7">
      <c r="A9" s="25"/>
      <c r="B9" s="10" t="s">
        <v>504</v>
      </c>
      <c r="C9" s="10" t="s">
        <v>505</v>
      </c>
      <c r="D9" s="206">
        <v>264172051</v>
      </c>
      <c r="E9" s="22" t="s">
        <v>506</v>
      </c>
      <c r="F9" s="99" t="s">
        <v>23</v>
      </c>
    </row>
    <row r="10" spans="1:7">
      <c r="A10" s="25"/>
      <c r="B10" s="10" t="s">
        <v>507</v>
      </c>
      <c r="C10" s="10" t="s">
        <v>508</v>
      </c>
      <c r="D10" s="205">
        <v>0.453592</v>
      </c>
      <c r="E10" s="22" t="s">
        <v>509</v>
      </c>
      <c r="F10" s="99" t="s">
        <v>23</v>
      </c>
    </row>
    <row r="11" spans="1:7">
      <c r="A11" s="25"/>
      <c r="B11" s="10" t="s">
        <v>510</v>
      </c>
      <c r="C11" s="10" t="s">
        <v>511</v>
      </c>
      <c r="D11" s="205">
        <v>32000</v>
      </c>
      <c r="E11" s="22" t="s">
        <v>512</v>
      </c>
      <c r="F11" s="99" t="s">
        <v>23</v>
      </c>
    </row>
    <row r="12" spans="1:7">
      <c r="A12" s="25"/>
      <c r="B12" s="10" t="s">
        <v>513</v>
      </c>
      <c r="C12" s="10" t="s">
        <v>514</v>
      </c>
      <c r="D12" s="205">
        <v>2.83495E-2</v>
      </c>
      <c r="E12" s="22" t="s">
        <v>515</v>
      </c>
      <c r="F12" s="99" t="s">
        <v>23</v>
      </c>
    </row>
    <row r="13" spans="1:7">
      <c r="A13" s="25"/>
      <c r="B13" s="10" t="s">
        <v>516</v>
      </c>
      <c r="C13" s="10" t="s">
        <v>517</v>
      </c>
      <c r="D13" s="205">
        <v>1000</v>
      </c>
      <c r="E13" s="22" t="s">
        <v>518</v>
      </c>
      <c r="F13" s="99" t="s">
        <v>23</v>
      </c>
    </row>
    <row r="14" spans="1:7">
      <c r="A14" s="25"/>
      <c r="B14" s="10" t="s">
        <v>519</v>
      </c>
      <c r="C14" s="10" t="s">
        <v>520</v>
      </c>
      <c r="D14" s="205">
        <v>1</v>
      </c>
      <c r="E14" s="22" t="s">
        <v>521</v>
      </c>
      <c r="F14" s="99" t="s">
        <v>23</v>
      </c>
    </row>
    <row r="15" spans="1:7">
      <c r="A15" s="25"/>
      <c r="B15" s="10" t="s">
        <v>522</v>
      </c>
      <c r="C15" s="10" t="s">
        <v>523</v>
      </c>
      <c r="D15" s="98">
        <v>0.26417200000000002</v>
      </c>
      <c r="E15" s="22" t="s">
        <v>524</v>
      </c>
      <c r="F15" s="99" t="s">
        <v>23</v>
      </c>
    </row>
    <row r="16" spans="1:7">
      <c r="A16" s="25"/>
      <c r="B16" s="10"/>
      <c r="C16" s="10"/>
      <c r="D16" s="11"/>
      <c r="E16" s="22"/>
      <c r="F16" s="99" t="s">
        <v>23</v>
      </c>
    </row>
    <row r="17" spans="1:6">
      <c r="A17" s="21"/>
      <c r="B17" s="15" t="s">
        <v>35</v>
      </c>
      <c r="C17" s="2"/>
      <c r="D17" s="54"/>
      <c r="E17" s="22"/>
      <c r="F17" s="99" t="s">
        <v>23</v>
      </c>
    </row>
    <row r="18" spans="1:6">
      <c r="A18" s="21"/>
      <c r="B18" s="10" t="s">
        <v>525</v>
      </c>
      <c r="C18" s="10" t="s">
        <v>526</v>
      </c>
      <c r="D18" s="11">
        <f>1000</f>
        <v>1000</v>
      </c>
      <c r="E18" s="22" t="s">
        <v>527</v>
      </c>
      <c r="F18" s="99" t="s">
        <v>23</v>
      </c>
    </row>
    <row r="19" spans="1:6">
      <c r="A19" s="21"/>
      <c r="B19" s="10" t="s">
        <v>528</v>
      </c>
      <c r="C19" s="10" t="s">
        <v>529</v>
      </c>
      <c r="D19" s="11">
        <v>277778</v>
      </c>
      <c r="E19" s="22" t="s">
        <v>530</v>
      </c>
      <c r="F19" s="99" t="s">
        <v>23</v>
      </c>
    </row>
    <row r="20" spans="1:6">
      <c r="A20" s="21"/>
      <c r="B20" s="10" t="s">
        <v>531</v>
      </c>
      <c r="C20" s="10" t="s">
        <v>532</v>
      </c>
      <c r="D20" s="11">
        <v>0.27777800000000002</v>
      </c>
      <c r="E20" s="22" t="s">
        <v>533</v>
      </c>
      <c r="F20" s="99" t="s">
        <v>23</v>
      </c>
    </row>
    <row r="21" spans="1:6">
      <c r="A21" s="21"/>
      <c r="B21" s="2"/>
      <c r="C21" s="2"/>
      <c r="D21" s="54"/>
      <c r="E21" s="26"/>
      <c r="F21" s="99" t="s">
        <v>23</v>
      </c>
    </row>
    <row r="22" spans="1:6">
      <c r="A22" s="21"/>
      <c r="B22" s="15" t="s">
        <v>534</v>
      </c>
      <c r="C22" s="2"/>
      <c r="D22" s="54"/>
      <c r="E22" s="26"/>
      <c r="F22" s="99" t="s">
        <v>23</v>
      </c>
    </row>
    <row r="23" spans="1:6">
      <c r="A23" s="21"/>
      <c r="B23" s="10" t="s">
        <v>535</v>
      </c>
      <c r="C23" s="10" t="s">
        <v>536</v>
      </c>
      <c r="D23" s="11">
        <v>0.30480000000000002</v>
      </c>
      <c r="E23" s="22" t="s">
        <v>537</v>
      </c>
      <c r="F23" s="99" t="s">
        <v>23</v>
      </c>
    </row>
    <row r="24" spans="1:6">
      <c r="A24" s="21"/>
      <c r="B24" s="2" t="s">
        <v>538</v>
      </c>
      <c r="C24" s="2" t="s">
        <v>539</v>
      </c>
      <c r="D24" s="54">
        <f>1/1000</f>
        <v>1E-3</v>
      </c>
      <c r="E24" s="22" t="s">
        <v>540</v>
      </c>
      <c r="F24" s="99" t="s">
        <v>23</v>
      </c>
    </row>
    <row r="25" spans="1:6">
      <c r="A25" s="21"/>
      <c r="B25" s="2" t="s">
        <v>541</v>
      </c>
      <c r="C25" s="2" t="s">
        <v>542</v>
      </c>
      <c r="D25" s="54">
        <f>1/1000000</f>
        <v>9.9999999999999995E-7</v>
      </c>
      <c r="E25" s="22" t="s">
        <v>543</v>
      </c>
      <c r="F25" s="99" t="s">
        <v>23</v>
      </c>
    </row>
    <row r="26" spans="1:6">
      <c r="A26" s="21"/>
      <c r="B26" s="2" t="s">
        <v>544</v>
      </c>
      <c r="C26" s="2" t="s">
        <v>545</v>
      </c>
      <c r="D26" s="54">
        <v>100</v>
      </c>
      <c r="E26" s="22" t="s">
        <v>546</v>
      </c>
      <c r="F26" s="99" t="s">
        <v>23</v>
      </c>
    </row>
    <row r="27" spans="1:6">
      <c r="A27" s="21"/>
      <c r="B27" s="2"/>
      <c r="C27" s="2"/>
      <c r="D27" s="54"/>
      <c r="E27" s="22"/>
      <c r="F27" s="99" t="s">
        <v>23</v>
      </c>
    </row>
    <row r="28" spans="1:6">
      <c r="A28" s="21"/>
      <c r="B28" s="15" t="s">
        <v>547</v>
      </c>
      <c r="C28" s="2"/>
      <c r="D28" s="54"/>
      <c r="E28" s="26"/>
      <c r="F28" s="99" t="s">
        <v>23</v>
      </c>
    </row>
    <row r="29" spans="1:6">
      <c r="A29" s="21"/>
      <c r="B29" s="2" t="s">
        <v>548</v>
      </c>
      <c r="C29" s="2" t="s">
        <v>549</v>
      </c>
      <c r="D29" s="46">
        <v>1000</v>
      </c>
      <c r="E29" s="22" t="s">
        <v>550</v>
      </c>
      <c r="F29" s="99" t="s">
        <v>23</v>
      </c>
    </row>
    <row r="30" spans="1:6">
      <c r="A30" s="21"/>
      <c r="B30" s="2"/>
      <c r="C30" s="2"/>
      <c r="D30" s="54"/>
      <c r="E30" s="26"/>
      <c r="F30" s="99" t="s">
        <v>23</v>
      </c>
    </row>
    <row r="31" spans="1:6">
      <c r="A31" s="21"/>
      <c r="B31" s="15" t="s">
        <v>551</v>
      </c>
      <c r="C31" s="2"/>
      <c r="D31" s="54"/>
      <c r="E31" s="26"/>
      <c r="F31" s="99" t="s">
        <v>23</v>
      </c>
    </row>
    <row r="32" spans="1:6">
      <c r="A32" s="21"/>
      <c r="B32" s="2" t="s">
        <v>552</v>
      </c>
      <c r="C32" s="2" t="s">
        <v>553</v>
      </c>
      <c r="D32" s="54">
        <v>0.09</v>
      </c>
      <c r="E32" s="22" t="s">
        <v>554</v>
      </c>
      <c r="F32" s="99" t="s">
        <v>23</v>
      </c>
    </row>
    <row r="33" spans="1:6">
      <c r="A33" s="21"/>
      <c r="B33" s="2"/>
      <c r="C33" s="2"/>
      <c r="D33" s="54"/>
      <c r="E33" s="22"/>
      <c r="F33" s="99" t="s">
        <v>23</v>
      </c>
    </row>
    <row r="34" spans="1:6">
      <c r="A34" s="21"/>
      <c r="B34" s="15" t="s">
        <v>555</v>
      </c>
      <c r="C34" s="2"/>
      <c r="D34" s="54"/>
      <c r="E34" s="22"/>
      <c r="F34" s="99" t="s">
        <v>23</v>
      </c>
    </row>
    <row r="35" spans="1:6">
      <c r="A35" s="21"/>
      <c r="B35" s="2" t="s">
        <v>556</v>
      </c>
      <c r="C35" s="2" t="s">
        <v>557</v>
      </c>
      <c r="D35" s="54">
        <v>365</v>
      </c>
      <c r="E35" s="22" t="s">
        <v>558</v>
      </c>
      <c r="F35" s="99" t="s">
        <v>23</v>
      </c>
    </row>
    <row r="36" spans="1:6">
      <c r="A36" s="21"/>
      <c r="B36" s="2"/>
      <c r="C36" s="2"/>
      <c r="D36" s="54"/>
      <c r="E36" s="22"/>
      <c r="F36" s="99" t="s">
        <v>23</v>
      </c>
    </row>
    <row r="37" spans="1:6">
      <c r="A37" s="21"/>
      <c r="B37" s="15" t="s">
        <v>559</v>
      </c>
      <c r="C37" s="2"/>
      <c r="D37" s="54"/>
      <c r="E37" s="22"/>
      <c r="F37" s="99" t="s">
        <v>23</v>
      </c>
    </row>
    <row r="38" spans="1:6">
      <c r="A38" s="21"/>
      <c r="B38" s="2" t="s">
        <v>560</v>
      </c>
      <c r="C38" s="2" t="s">
        <v>561</v>
      </c>
      <c r="D38" s="54">
        <v>24</v>
      </c>
      <c r="E38" s="132" t="s">
        <v>261</v>
      </c>
      <c r="F38" s="99" t="s">
        <v>23</v>
      </c>
    </row>
    <row r="39" spans="1:6">
      <c r="A39" s="21"/>
      <c r="B39" s="2" t="s">
        <v>562</v>
      </c>
      <c r="C39" s="2" t="s">
        <v>563</v>
      </c>
      <c r="D39" s="54">
        <v>16</v>
      </c>
      <c r="E39" s="22" t="s">
        <v>564</v>
      </c>
      <c r="F39" s="99" t="s">
        <v>23</v>
      </c>
    </row>
    <row r="40" spans="1:6">
      <c r="A40" s="21"/>
      <c r="B40" s="2" t="s">
        <v>565</v>
      </c>
      <c r="C40" s="2" t="s">
        <v>566</v>
      </c>
      <c r="D40" s="54">
        <f>24*60*60</f>
        <v>86400</v>
      </c>
      <c r="E40" s="132" t="s">
        <v>29</v>
      </c>
      <c r="F40" s="99" t="s">
        <v>23</v>
      </c>
    </row>
    <row r="41" spans="1:6">
      <c r="A41" s="25"/>
      <c r="B41" s="54" t="s">
        <v>567</v>
      </c>
      <c r="C41" s="11" t="s">
        <v>568</v>
      </c>
      <c r="D41" s="54">
        <v>90</v>
      </c>
      <c r="E41" s="232" t="s">
        <v>569</v>
      </c>
      <c r="F41" s="99" t="s">
        <v>23</v>
      </c>
    </row>
    <row r="42" spans="1:6">
      <c r="A42" s="25"/>
      <c r="B42" s="54" t="s">
        <v>570</v>
      </c>
      <c r="C42" s="11" t="s">
        <v>571</v>
      </c>
      <c r="D42" s="54">
        <f>$D$41*60</f>
        <v>5400</v>
      </c>
      <c r="E42" s="199" t="s">
        <v>29</v>
      </c>
      <c r="F42" s="99" t="s">
        <v>23</v>
      </c>
    </row>
    <row r="43" spans="1:6">
      <c r="A43" s="25"/>
      <c r="B43" s="54" t="s">
        <v>572</v>
      </c>
      <c r="C43" s="11" t="s">
        <v>133</v>
      </c>
      <c r="D43" s="54">
        <v>35</v>
      </c>
      <c r="E43" s="232" t="s">
        <v>569</v>
      </c>
      <c r="F43" s="99"/>
    </row>
    <row r="44" spans="1:6">
      <c r="A44" s="25"/>
      <c r="B44" s="54"/>
      <c r="C44" s="11"/>
      <c r="D44" s="54"/>
      <c r="E44" s="199"/>
      <c r="F44" s="99"/>
    </row>
    <row r="45" spans="1:6">
      <c r="A45" s="21"/>
      <c r="B45" s="36" t="s">
        <v>573</v>
      </c>
      <c r="C45" s="11"/>
      <c r="D45" s="54"/>
      <c r="E45" s="199"/>
      <c r="F45" s="99" t="s">
        <v>23</v>
      </c>
    </row>
    <row r="46" spans="1:6">
      <c r="A46" s="30"/>
      <c r="B46" s="143" t="s">
        <v>574</v>
      </c>
      <c r="C46" s="37" t="s">
        <v>575</v>
      </c>
      <c r="D46" s="143">
        <v>1000</v>
      </c>
      <c r="E46" s="200" t="s">
        <v>576</v>
      </c>
      <c r="F46" s="99" t="s">
        <v>23</v>
      </c>
    </row>
  </sheetData>
  <sheetProtection algorithmName="SHA-512" hashValue="v/Gk7qWxFmnqm0exZbx9fhRfV8hiu+99vS3E6D1gbePWd18cKHTNodS4VV5A2wrkcPj8H1b2IzfjkC/un65+xg==" saltValue="A7Xo19aOgBc6l/dyRwozJA==" spinCount="100000" sheet="1" objects="1" scenarios="1" selectLockedCells="1"/>
  <hyperlinks>
    <hyperlink ref="E3" r:id="rId1" xr:uid="{D921427D-8202-42A0-A508-4557DB2BF8A2}"/>
    <hyperlink ref="E18" r:id="rId2" xr:uid="{8439217D-1FFF-467E-AF31-E9F58AD6DCB8}"/>
    <hyperlink ref="E4" r:id="rId3" xr:uid="{7290E192-4E73-49AF-9AEC-35B250A4E59C}"/>
    <hyperlink ref="E5" r:id="rId4" xr:uid="{73BABC4D-1F25-42F8-8879-3D1A52C0D4D9}"/>
    <hyperlink ref="E23" r:id="rId5" xr:uid="{A05D3A62-2C15-4206-9B9B-7A3F4E96CD71}"/>
    <hyperlink ref="E24" r:id="rId6" xr:uid="{7F9D037A-03E3-4B08-9156-C0CB8F93D25F}"/>
    <hyperlink ref="E25" r:id="rId7" xr:uid="{93267E75-ABF3-4375-9A8F-96C4D4BA0B27}"/>
    <hyperlink ref="E32" r:id="rId8" xr:uid="{996EAB7D-6607-451B-95DE-D8E7548ACE78}"/>
    <hyperlink ref="E6" r:id="rId9" xr:uid="{538221D9-BF9A-47B6-9FC7-E5D0DEB3886B}"/>
    <hyperlink ref="E41" r:id="rId10" xr:uid="{43F578AB-20FF-422E-87CF-031D2E72734D}"/>
    <hyperlink ref="E29" r:id="rId11" xr:uid="{9AA265E7-83EF-4D76-8A18-9C1CB1222540}"/>
    <hyperlink ref="E7" r:id="rId12" xr:uid="{40802454-0E4A-462F-AB23-93710833C86B}"/>
    <hyperlink ref="E20" r:id="rId13" xr:uid="{F0249632-00B6-47A7-B3AA-FE35BBCBD137}"/>
    <hyperlink ref="E8" r:id="rId14" xr:uid="{62E19B3B-AA59-4CAE-98D9-8D72E698BC4C}"/>
    <hyperlink ref="E19" r:id="rId15" xr:uid="{A0F6D1D7-4BCB-4F1F-BE26-E39272E0439E}"/>
    <hyperlink ref="E35" r:id="rId16" xr:uid="{5D55732C-9889-40EE-8DDC-9B157019D27B}"/>
    <hyperlink ref="E39" r:id="rId17" xr:uid="{C2269F2B-EC2D-450D-A8D6-7E6C8DAC7DB7}"/>
    <hyperlink ref="E11" r:id="rId18" xr:uid="{075E9F25-C938-4A7F-B394-321B271318E5}"/>
    <hyperlink ref="E12" r:id="rId19" xr:uid="{2BCD21DD-E4E0-4423-A193-573D816A2350}"/>
    <hyperlink ref="E13" r:id="rId20" xr:uid="{620EFA5D-E2B5-4319-A92C-855F4DB6E60C}"/>
    <hyperlink ref="E10" r:id="rId21" xr:uid="{928133DE-79A0-4809-AF13-4DF493221808}"/>
    <hyperlink ref="E14" r:id="rId22" location=":~:text=1%20kilogram%20(kg)%20%3D%201%20liter%20(l" xr:uid="{ACC62963-F919-428C-9AC9-7A9CE0C7E0EB}"/>
    <hyperlink ref="E26" r:id="rId23" xr:uid="{7AA31B4D-7765-41AE-BCF3-91D462A58FB0}"/>
    <hyperlink ref="E15" r:id="rId24" xr:uid="{C2CC15A2-7F42-4AA8-A214-DF1537564C5B}"/>
    <hyperlink ref="E46" r:id="rId25" xr:uid="{8D3D44D1-69CE-4071-97EA-058D2ADCE029}"/>
    <hyperlink ref="E9" r:id="rId26" xr:uid="{E2C87DE0-0084-415D-9DDD-450C654A42C3}"/>
    <hyperlink ref="E43" r:id="rId27" xr:uid="{20415C79-9DF0-4F3D-BA94-64AE8875930D}"/>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7DA9-59DF-4AAB-AA0E-68F9C7FA1611}">
  <dimension ref="A1:B19"/>
  <sheetViews>
    <sheetView workbookViewId="0">
      <selection activeCell="B12" sqref="B12"/>
    </sheetView>
  </sheetViews>
  <sheetFormatPr defaultRowHeight="15.75"/>
  <cols>
    <col min="1" max="1" width="13.5" customWidth="1"/>
    <col min="2" max="2" width="198.875" customWidth="1"/>
  </cols>
  <sheetData>
    <row r="1" spans="1:2">
      <c r="A1" s="140" t="s">
        <v>577</v>
      </c>
      <c r="B1" s="139" t="s">
        <v>578</v>
      </c>
    </row>
    <row r="2" spans="1:2">
      <c r="A2" t="s">
        <v>26</v>
      </c>
      <c r="B2" s="225" t="s">
        <v>579</v>
      </c>
    </row>
    <row r="3" spans="1:2">
      <c r="A3" t="s">
        <v>38</v>
      </c>
      <c r="B3" s="226" t="s">
        <v>580</v>
      </c>
    </row>
    <row r="4" spans="1:2">
      <c r="A4" t="s">
        <v>60</v>
      </c>
      <c r="B4" s="225" t="s">
        <v>581</v>
      </c>
    </row>
    <row r="5" spans="1:2">
      <c r="A5" t="s">
        <v>63</v>
      </c>
      <c r="B5" s="225" t="s">
        <v>582</v>
      </c>
    </row>
    <row r="6" spans="1:2">
      <c r="A6" t="s">
        <v>68</v>
      </c>
      <c r="B6" s="225" t="s">
        <v>583</v>
      </c>
    </row>
    <row r="7" spans="1:2">
      <c r="A7" t="s">
        <v>82</v>
      </c>
      <c r="B7" s="225" t="s">
        <v>584</v>
      </c>
    </row>
    <row r="8" spans="1:2">
      <c r="A8" t="s">
        <v>105</v>
      </c>
      <c r="B8" s="225" t="s">
        <v>585</v>
      </c>
    </row>
    <row r="9" spans="1:2">
      <c r="A9" t="s">
        <v>151</v>
      </c>
      <c r="B9" s="225" t="s">
        <v>586</v>
      </c>
    </row>
    <row r="10" spans="1:2">
      <c r="A10" t="s">
        <v>206</v>
      </c>
      <c r="B10" s="225" t="s">
        <v>587</v>
      </c>
    </row>
    <row r="11" spans="1:2">
      <c r="A11" t="s">
        <v>220</v>
      </c>
      <c r="B11" s="225" t="s">
        <v>588</v>
      </c>
    </row>
    <row r="12" spans="1:2">
      <c r="A12" t="s">
        <v>256</v>
      </c>
      <c r="B12" s="225" t="s">
        <v>589</v>
      </c>
    </row>
    <row r="13" spans="1:2">
      <c r="A13" t="s">
        <v>287</v>
      </c>
      <c r="B13" s="225" t="s">
        <v>282</v>
      </c>
    </row>
    <row r="14" spans="1:2">
      <c r="A14" t="s">
        <v>315</v>
      </c>
      <c r="B14" s="225" t="s">
        <v>590</v>
      </c>
    </row>
    <row r="15" spans="1:2">
      <c r="A15" t="s">
        <v>591</v>
      </c>
      <c r="B15" s="225" t="s">
        <v>592</v>
      </c>
    </row>
    <row r="16" spans="1:2">
      <c r="A16" t="s">
        <v>359</v>
      </c>
      <c r="B16" s="225" t="s">
        <v>593</v>
      </c>
    </row>
    <row r="17" spans="1:2">
      <c r="A17" t="s">
        <v>116</v>
      </c>
      <c r="B17" t="s">
        <v>594</v>
      </c>
    </row>
    <row r="18" spans="1:2">
      <c r="A18" t="s">
        <v>261</v>
      </c>
      <c r="B18" t="s">
        <v>611</v>
      </c>
    </row>
    <row r="19" spans="1:2">
      <c r="A19" t="s">
        <v>262</v>
      </c>
      <c r="B19" t="s">
        <v>596</v>
      </c>
    </row>
  </sheetData>
  <sheetProtection algorithmName="SHA-512" hashValue="ApyqstGZSsLLjT967aIIg8SURIQGOIpf/oAsavbyiqVpVeP/ZokkIg8g4mfoLdLQkkPh6NgQuIHw54eQR3mTUA==" saltValue="vDwU6C+SncxZVBUfHJgzaQ==" spinCount="100000" sheet="1" objects="1" scenarios="1"/>
  <hyperlinks>
    <hyperlink ref="B2" r:id="rId1" xr:uid="{0C9B8BFB-D6B4-435E-A7DD-94A76D4E2955}"/>
    <hyperlink ref="B3" r:id="rId2" xr:uid="{4624176D-FE0F-4FDA-B026-ABB61DF30638}"/>
    <hyperlink ref="B4" r:id="rId3" xr:uid="{249E5C94-63E3-43FE-B34D-57D786686641}"/>
    <hyperlink ref="B5" r:id="rId4" xr:uid="{2F95D5E0-5461-4126-BF0F-07FB354A5359}"/>
    <hyperlink ref="B6" r:id="rId5" xr:uid="{AF21D2DE-8BDC-439A-B910-F61781A5C22B}"/>
    <hyperlink ref="B7" r:id="rId6" xr:uid="{23533CF6-7991-4D96-BBFA-F65F59D2A1FB}"/>
    <hyperlink ref="B8" r:id="rId7" xr:uid="{2C78D8BB-0F09-4117-865F-0BC759DA5212}"/>
    <hyperlink ref="B9" r:id="rId8" xr:uid="{62E38F7B-8856-43FF-9AFA-C20E0C27F56C}"/>
    <hyperlink ref="B10" r:id="rId9" xr:uid="{A9AB569B-0F03-4E4A-919D-08EA5E6DDA7A}"/>
    <hyperlink ref="B11" r:id="rId10" xr:uid="{2D5E391A-D027-4593-ABE9-1B5091FE775B}"/>
    <hyperlink ref="B12" r:id="rId11" xr:uid="{7FEA8CAE-8478-4975-ADB3-0B48B3C8BC6A}"/>
    <hyperlink ref="B14" r:id="rId12" xr:uid="{3B83B5AC-D307-49A2-A393-9438D3FFA403}"/>
    <hyperlink ref="B15" r:id="rId13" xr:uid="{8EE96556-829B-4AEE-929A-1234E2F133CA}"/>
    <hyperlink ref="B16" r:id="rId14" xr:uid="{D689C79E-B2FC-43AC-A5DD-88B682CE0AF3}"/>
    <hyperlink ref="B13" r:id="rId15" xr:uid="{9155AE50-05FF-4AAE-8A96-1FD07CA9E1D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8A263-B292-4E20-B292-4EF02E41C65D}">
  <dimension ref="A1:D14"/>
  <sheetViews>
    <sheetView workbookViewId="0">
      <pane ySplit="1" topLeftCell="A2" activePane="bottomLeft" state="frozen"/>
      <selection pane="bottomLeft" activeCell="B12" sqref="B12"/>
    </sheetView>
  </sheetViews>
  <sheetFormatPr defaultRowHeight="15.75"/>
  <cols>
    <col min="1" max="1" width="13" customWidth="1"/>
    <col min="2" max="2" width="198.625" customWidth="1"/>
  </cols>
  <sheetData>
    <row r="1" spans="1:4">
      <c r="A1" s="140" t="s">
        <v>577</v>
      </c>
      <c r="B1" s="139" t="s">
        <v>578</v>
      </c>
    </row>
    <row r="2" spans="1:4">
      <c r="A2" t="s">
        <v>597</v>
      </c>
      <c r="B2" s="226" t="s">
        <v>598</v>
      </c>
      <c r="C2" s="3"/>
    </row>
    <row r="3" spans="1:4">
      <c r="A3" t="s">
        <v>374</v>
      </c>
      <c r="B3" s="226" t="s">
        <v>599</v>
      </c>
      <c r="C3" s="3"/>
    </row>
    <row r="4" spans="1:4">
      <c r="A4" t="s">
        <v>395</v>
      </c>
      <c r="B4" s="226" t="s">
        <v>600</v>
      </c>
      <c r="C4" s="3"/>
    </row>
    <row r="5" spans="1:4">
      <c r="A5" t="s">
        <v>377</v>
      </c>
      <c r="B5" s="226" t="s">
        <v>601</v>
      </c>
      <c r="C5" s="3"/>
    </row>
    <row r="6" spans="1:4" ht="15.75" customHeight="1">
      <c r="A6" t="s">
        <v>399</v>
      </c>
      <c r="B6" s="226" t="s">
        <v>602</v>
      </c>
      <c r="C6" s="3"/>
    </row>
    <row r="7" spans="1:4" ht="15.75" customHeight="1">
      <c r="A7" t="s">
        <v>407</v>
      </c>
      <c r="B7" s="236" t="s">
        <v>603</v>
      </c>
      <c r="C7" s="3"/>
    </row>
    <row r="8" spans="1:4">
      <c r="A8" t="s">
        <v>604</v>
      </c>
      <c r="B8" s="226" t="s">
        <v>605</v>
      </c>
      <c r="C8" s="3"/>
    </row>
    <row r="9" spans="1:4">
      <c r="A9" t="s">
        <v>419</v>
      </c>
      <c r="B9" s="226" t="s">
        <v>606</v>
      </c>
      <c r="C9" s="3"/>
    </row>
    <row r="10" spans="1:4">
      <c r="A10" t="s">
        <v>436</v>
      </c>
      <c r="B10" s="226" t="s">
        <v>607</v>
      </c>
      <c r="C10" s="3"/>
    </row>
    <row r="11" spans="1:4">
      <c r="A11" t="s">
        <v>285</v>
      </c>
      <c r="B11" s="227" t="s">
        <v>608</v>
      </c>
      <c r="C11" s="3"/>
      <c r="D11" s="3"/>
    </row>
    <row r="12" spans="1:4">
      <c r="A12" t="s">
        <v>414</v>
      </c>
      <c r="B12" s="54" t="s">
        <v>609</v>
      </c>
    </row>
    <row r="13" spans="1:4">
      <c r="A13" t="s">
        <v>261</v>
      </c>
      <c r="B13" t="s">
        <v>595</v>
      </c>
    </row>
    <row r="14" spans="1:4">
      <c r="A14" t="s">
        <v>262</v>
      </c>
      <c r="B14" t="s">
        <v>596</v>
      </c>
    </row>
  </sheetData>
  <sheetProtection algorithmName="SHA-512" hashValue="8RiqS46EIYEeaGzVeg6cSDvDQenPL4swcO/tLDQaTrrHCqJyOrN8MZQxVWU01nV217SFjQi4Qb/X8F+EsE+b/Q==" saltValue="RId/L5j+YjKi/yHjZBn2dg==" spinCount="100000" sheet="1" objects="1" scenarios="1"/>
  <hyperlinks>
    <hyperlink ref="B2" r:id="rId1" xr:uid="{7A517118-363D-4199-A665-854710B85B98}"/>
    <hyperlink ref="B3" r:id="rId2" xr:uid="{E1AA716F-F6A6-47B9-B1BF-152F9B694BB0}"/>
    <hyperlink ref="B5" r:id="rId3" xr:uid="{D136B917-E47C-48BD-8C5E-08A7B793D45C}"/>
    <hyperlink ref="B6" r:id="rId4" xr:uid="{8937433C-5A3D-4563-9115-1F3242E23C1C}"/>
    <hyperlink ref="B9" r:id="rId5" xr:uid="{548452EE-AD76-4F15-B02A-FD9DC9A03FA6}"/>
    <hyperlink ref="B10" r:id="rId6" xr:uid="{51478EF0-9E1D-4646-A4F5-F6B044609198}"/>
    <hyperlink ref="B11" r:id="rId7" xr:uid="{9AFD7646-DF80-493E-82C0-577643A23A2A}"/>
    <hyperlink ref="B4" r:id="rId8" xr:uid="{DB2A910E-1598-46E2-8694-69B6CF3D8A6B}"/>
    <hyperlink ref="B8" r:id="rId9" xr:uid="{3AA4D807-E8BC-480A-A225-BF81D299491F}"/>
    <hyperlink ref="B7" r:id="rId10" xr:uid="{368FC026-F47E-46BC-AD50-E5F31C0EBC9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General</vt:lpstr>
      <vt:lpstr>Film</vt:lpstr>
      <vt:lpstr>SD Cards</vt:lpstr>
      <vt:lpstr>Unit Conversions</vt:lpstr>
      <vt:lpstr>Film Sources</vt:lpstr>
      <vt:lpstr>Digital 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Kindberg, Heidi (HBO)</cp:lastModifiedBy>
  <cp:revision/>
  <dcterms:created xsi:type="dcterms:W3CDTF">2021-02-05T20:11:20Z</dcterms:created>
  <dcterms:modified xsi:type="dcterms:W3CDTF">2022-03-02T20:12:53Z</dcterms:modified>
  <cp:category/>
  <cp:contentStatus/>
</cp:coreProperties>
</file>